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USER\Desktop\UAS\PAPER PPP\fix\"/>
    </mc:Choice>
  </mc:AlternateContent>
  <xr:revisionPtr revIDLastSave="0" documentId="13_ncr:1_{DE8B04E1-4CC8-4300-B935-72D0E36F3031}" xr6:coauthVersionLast="46" xr6:coauthVersionMax="46" xr10:uidLastSave="{00000000-0000-0000-0000-000000000000}"/>
  <bookViews>
    <workbookView xWindow="-120" yWindow="-120" windowWidth="20730" windowHeight="11160" xr2:uid="{00000000-000D-0000-FFFF-FFFF00000000}"/>
  </bookViews>
  <sheets>
    <sheet name="Aspek Keuangan" sheetId="1" r:id="rId1"/>
    <sheet name="Laporan Laba Rugi" sheetId="2" r:id="rId2"/>
    <sheet name="Proyeksi Neraca" sheetId="4" r:id="rId3"/>
  </sheets>
  <calcPr calcId="181029"/>
</workbook>
</file>

<file path=xl/calcChain.xml><?xml version="1.0" encoding="utf-8"?>
<calcChain xmlns="http://schemas.openxmlformats.org/spreadsheetml/2006/main">
  <c r="O31" i="1" l="1"/>
  <c r="O30" i="1"/>
  <c r="O29" i="1"/>
  <c r="N30" i="1"/>
  <c r="N29" i="1"/>
  <c r="K35" i="1" l="1"/>
  <c r="AA9" i="1"/>
  <c r="L5" i="1"/>
  <c r="L4" i="1"/>
  <c r="E60" i="2" l="1"/>
  <c r="E81" i="2"/>
  <c r="X6" i="1"/>
  <c r="L17" i="2"/>
  <c r="K27" i="1" l="1"/>
  <c r="O3" i="2"/>
  <c r="J26" i="2" l="1"/>
  <c r="X4" i="1" l="1"/>
  <c r="L24" i="2" l="1"/>
  <c r="P3" i="2"/>
  <c r="O4" i="2" s="1"/>
  <c r="L16" i="2"/>
  <c r="L18" i="2" s="1"/>
  <c r="J12" i="2"/>
  <c r="J11" i="2"/>
  <c r="J10" i="2"/>
  <c r="J9" i="2"/>
  <c r="J8" i="2"/>
  <c r="K28" i="1"/>
  <c r="P4" i="2" l="1"/>
  <c r="O5" i="2" s="1"/>
  <c r="P5" i="2" s="1"/>
  <c r="O6" i="2" s="1"/>
  <c r="K31" i="1" l="1"/>
  <c r="L4" i="2" s="1"/>
  <c r="K25" i="1"/>
  <c r="L3" i="2" l="1"/>
  <c r="K8" i="2" s="1"/>
  <c r="K32" i="1"/>
  <c r="N17" i="1"/>
  <c r="I16" i="2" l="1"/>
  <c r="C6" i="2" s="1"/>
  <c r="K9" i="2"/>
  <c r="I17" i="2" s="1"/>
  <c r="C27" i="2" s="1"/>
  <c r="K11" i="2"/>
  <c r="I19" i="2" s="1"/>
  <c r="K10" i="2"/>
  <c r="I18" i="2" s="1"/>
  <c r="N20" i="1"/>
  <c r="H7" i="1"/>
  <c r="C73" i="2" l="1"/>
  <c r="C76" i="2"/>
  <c r="C78" i="2"/>
  <c r="C75" i="2"/>
  <c r="C77" i="2"/>
  <c r="C71" i="2"/>
  <c r="C69" i="2"/>
  <c r="C72" i="2"/>
  <c r="C74" i="2"/>
  <c r="C79" i="2"/>
  <c r="C70" i="2"/>
  <c r="C80" i="2"/>
  <c r="C56" i="2"/>
  <c r="C49" i="2"/>
  <c r="C55" i="2"/>
  <c r="C48" i="2"/>
  <c r="C54" i="2"/>
  <c r="C51" i="2"/>
  <c r="C53" i="2"/>
  <c r="C58" i="2"/>
  <c r="C52" i="2"/>
  <c r="C57" i="2"/>
  <c r="C59" i="2"/>
  <c r="C50" i="2"/>
  <c r="C38" i="2"/>
  <c r="C37" i="2"/>
  <c r="C32" i="2"/>
  <c r="C36" i="2"/>
  <c r="C35" i="2"/>
  <c r="C28" i="2"/>
  <c r="C34" i="2"/>
  <c r="C29" i="2"/>
  <c r="C30" i="2"/>
  <c r="C31" i="2"/>
  <c r="C33" i="2"/>
  <c r="C8" i="2"/>
  <c r="C13" i="2"/>
  <c r="C9" i="2"/>
  <c r="C11" i="2"/>
  <c r="C10" i="2"/>
  <c r="C15" i="2"/>
  <c r="C12" i="2"/>
  <c r="C16" i="2"/>
  <c r="C14" i="2"/>
  <c r="C7" i="2"/>
  <c r="C17" i="2"/>
  <c r="N11" i="1"/>
  <c r="N12" i="1"/>
  <c r="N13" i="1"/>
  <c r="N10" i="1"/>
  <c r="G9" i="1"/>
  <c r="G13" i="1"/>
  <c r="G12" i="1"/>
  <c r="G11" i="1"/>
  <c r="G10" i="1"/>
  <c r="L19" i="2" l="1"/>
  <c r="G17" i="1"/>
  <c r="N14" i="1"/>
  <c r="H9" i="1"/>
  <c r="K17" i="1" s="1"/>
  <c r="G14" i="1"/>
  <c r="E9" i="2" l="1"/>
  <c r="E13" i="2"/>
  <c r="E17" i="2"/>
  <c r="E30" i="2"/>
  <c r="E34" i="2"/>
  <c r="E38" i="2"/>
  <c r="E27" i="2"/>
  <c r="E35" i="2"/>
  <c r="E36" i="2"/>
  <c r="E6" i="2"/>
  <c r="E10" i="2"/>
  <c r="E14" i="2"/>
  <c r="E31" i="2"/>
  <c r="E7" i="2"/>
  <c r="E11" i="2"/>
  <c r="E15" i="2"/>
  <c r="E32" i="2"/>
  <c r="E28" i="2"/>
  <c r="E8" i="2"/>
  <c r="E12" i="2"/>
  <c r="E16" i="2"/>
  <c r="E29" i="2"/>
  <c r="E33" i="2"/>
  <c r="E37" i="2"/>
  <c r="L20" i="2"/>
  <c r="N25" i="1"/>
  <c r="G18" i="1"/>
  <c r="E39" i="2" l="1"/>
  <c r="E18" i="2"/>
  <c r="R9" i="1"/>
  <c r="U5" i="1" s="1"/>
  <c r="U7" i="1" l="1"/>
  <c r="U10" i="1" s="1"/>
  <c r="U13" i="1" l="1"/>
  <c r="X5" i="1" s="1"/>
  <c r="X7" i="1" s="1"/>
  <c r="G4" i="4" s="1"/>
  <c r="I3" i="2"/>
  <c r="B30" i="2" s="1"/>
  <c r="F30" i="2" s="1"/>
  <c r="B69" i="2"/>
  <c r="F69" i="2" s="1"/>
  <c r="B78" i="2"/>
  <c r="D78" i="2" s="1"/>
  <c r="B58" i="2"/>
  <c r="D58" i="2" s="1"/>
  <c r="B16" i="2"/>
  <c r="F16" i="2" s="1"/>
  <c r="B14" i="2"/>
  <c r="F14" i="2" s="1"/>
  <c r="B37" i="2"/>
  <c r="B32" i="2"/>
  <c r="D32" i="2" s="1"/>
  <c r="B71" i="2"/>
  <c r="F71" i="2" s="1"/>
  <c r="B12" i="2"/>
  <c r="B48" i="2"/>
  <c r="F48" i="2" s="1"/>
  <c r="B35" i="2"/>
  <c r="F35" i="2" s="1"/>
  <c r="B10" i="2"/>
  <c r="F10" i="2" s="1"/>
  <c r="B52" i="2"/>
  <c r="F52" i="2" s="1"/>
  <c r="B36" i="2"/>
  <c r="D36" i="2" s="1"/>
  <c r="B53" i="2"/>
  <c r="F53" i="2" s="1"/>
  <c r="B7" i="2"/>
  <c r="D7" i="2" s="1"/>
  <c r="B59" i="2"/>
  <c r="F59" i="2" s="1"/>
  <c r="AA4" i="1"/>
  <c r="F4" i="4"/>
  <c r="D53" i="2"/>
  <c r="F58" i="2"/>
  <c r="F37" i="2"/>
  <c r="D37" i="2"/>
  <c r="F12" i="2"/>
  <c r="D12" i="2"/>
  <c r="D48" i="2"/>
  <c r="D52" i="2"/>
  <c r="F32" i="2"/>
  <c r="X10" i="1"/>
  <c r="D71" i="2" l="1"/>
  <c r="F78" i="2"/>
  <c r="D35" i="2"/>
  <c r="D59" i="2"/>
  <c r="G59" i="2" s="1"/>
  <c r="D16" i="2"/>
  <c r="D10" i="2"/>
  <c r="F7" i="2"/>
  <c r="G7" i="2" s="1"/>
  <c r="F36" i="2"/>
  <c r="B55" i="2"/>
  <c r="B28" i="2"/>
  <c r="B80" i="2"/>
  <c r="B8" i="2"/>
  <c r="F8" i="2" s="1"/>
  <c r="F8" i="4"/>
  <c r="J5" i="4" s="1"/>
  <c r="J4" i="4"/>
  <c r="D69" i="2"/>
  <c r="G69" i="2" s="1"/>
  <c r="B49" i="2"/>
  <c r="B9" i="2"/>
  <c r="B38" i="2"/>
  <c r="B13" i="2"/>
  <c r="B75" i="2"/>
  <c r="B77" i="2"/>
  <c r="B54" i="2"/>
  <c r="B33" i="2"/>
  <c r="B72" i="2"/>
  <c r="B17" i="2"/>
  <c r="B76" i="2"/>
  <c r="B27" i="2"/>
  <c r="B6" i="2"/>
  <c r="G8" i="4" s="1"/>
  <c r="B70" i="2"/>
  <c r="B50" i="2"/>
  <c r="B11" i="2"/>
  <c r="B57" i="2"/>
  <c r="B73" i="2"/>
  <c r="B15" i="2"/>
  <c r="B56" i="2"/>
  <c r="B34" i="2"/>
  <c r="B51" i="2"/>
  <c r="B74" i="2"/>
  <c r="B31" i="2"/>
  <c r="B29" i="2"/>
  <c r="B79" i="2"/>
  <c r="D14" i="2"/>
  <c r="D30" i="2"/>
  <c r="G30" i="2" s="1"/>
  <c r="G52" i="2"/>
  <c r="G10" i="2"/>
  <c r="G35" i="2"/>
  <c r="G48" i="2"/>
  <c r="G71" i="2"/>
  <c r="G14" i="2"/>
  <c r="G53" i="2"/>
  <c r="G32" i="2"/>
  <c r="G12" i="2"/>
  <c r="G37" i="2"/>
  <c r="G16" i="2"/>
  <c r="G58" i="2"/>
  <c r="G78" i="2"/>
  <c r="G36" i="2"/>
  <c r="D80" i="2" l="1"/>
  <c r="F80" i="2"/>
  <c r="D28" i="2"/>
  <c r="F28" i="2"/>
  <c r="D8" i="2"/>
  <c r="G8" i="2" s="1"/>
  <c r="F55" i="2"/>
  <c r="D55" i="2"/>
  <c r="G55" i="2" s="1"/>
  <c r="D79" i="2"/>
  <c r="F79" i="2"/>
  <c r="F70" i="2"/>
  <c r="D70" i="2"/>
  <c r="G70" i="2" s="1"/>
  <c r="F9" i="2"/>
  <c r="D9" i="2"/>
  <c r="F29" i="2"/>
  <c r="D29" i="2"/>
  <c r="G29" i="2" s="1"/>
  <c r="F34" i="2"/>
  <c r="D34" i="2"/>
  <c r="D57" i="2"/>
  <c r="F57" i="2"/>
  <c r="D6" i="2"/>
  <c r="F6" i="2"/>
  <c r="D72" i="2"/>
  <c r="F72" i="2"/>
  <c r="D75" i="2"/>
  <c r="F75" i="2"/>
  <c r="D49" i="2"/>
  <c r="F49" i="2"/>
  <c r="F17" i="2"/>
  <c r="D17" i="2"/>
  <c r="D31" i="2"/>
  <c r="F31" i="2"/>
  <c r="D56" i="2"/>
  <c r="F56" i="2"/>
  <c r="F11" i="2"/>
  <c r="D11" i="2"/>
  <c r="F27" i="2"/>
  <c r="D27" i="2"/>
  <c r="F33" i="2"/>
  <c r="D33" i="2"/>
  <c r="F13" i="2"/>
  <c r="D13" i="2"/>
  <c r="F51" i="2"/>
  <c r="D51" i="2"/>
  <c r="F73" i="2"/>
  <c r="D73" i="2"/>
  <c r="F77" i="2"/>
  <c r="D77" i="2"/>
  <c r="F74" i="2"/>
  <c r="D74" i="2"/>
  <c r="F15" i="2"/>
  <c r="D15" i="2"/>
  <c r="F50" i="2"/>
  <c r="D50" i="2"/>
  <c r="F76" i="2"/>
  <c r="D76" i="2"/>
  <c r="F54" i="2"/>
  <c r="D54" i="2"/>
  <c r="F38" i="2"/>
  <c r="D38" i="2"/>
  <c r="G28" i="2" l="1"/>
  <c r="G54" i="2"/>
  <c r="G50" i="2"/>
  <c r="G74" i="2"/>
  <c r="G73" i="2"/>
  <c r="G13" i="2"/>
  <c r="G27" i="2"/>
  <c r="G34" i="2"/>
  <c r="G9" i="2"/>
  <c r="G80" i="2"/>
  <c r="G31" i="2"/>
  <c r="G49" i="2"/>
  <c r="G72" i="2"/>
  <c r="G56" i="2"/>
  <c r="G17" i="2"/>
  <c r="G57" i="2"/>
  <c r="G75" i="2"/>
  <c r="G38" i="2"/>
  <c r="G76" i="2"/>
  <c r="G15" i="2"/>
  <c r="G77" i="2"/>
  <c r="G51" i="2"/>
  <c r="G33" i="2"/>
  <c r="G39" i="2" s="1"/>
  <c r="J28" i="2" s="1"/>
  <c r="G11" i="2"/>
  <c r="G6" i="2"/>
  <c r="G79" i="2"/>
  <c r="G60" i="2" l="1"/>
  <c r="J29" i="2" s="1"/>
  <c r="G18" i="2"/>
  <c r="J27" i="2" s="1"/>
  <c r="G81" i="2"/>
  <c r="J30" i="2" s="1"/>
</calcChain>
</file>

<file path=xl/sharedStrings.xml><?xml version="1.0" encoding="utf-8"?>
<sst xmlns="http://schemas.openxmlformats.org/spreadsheetml/2006/main" count="241" uniqueCount="160">
  <si>
    <t>Modal Tetap</t>
  </si>
  <si>
    <t>Biaya Modal Bisnis Gantungan Baju Multifungsi</t>
  </si>
  <si>
    <t>1.</t>
  </si>
  <si>
    <t>No</t>
  </si>
  <si>
    <t>Uraian</t>
  </si>
  <si>
    <t>Jumlah (Unit)</t>
  </si>
  <si>
    <t>Harga Satuan (Rp)</t>
  </si>
  <si>
    <t>Total (Rp)</t>
  </si>
  <si>
    <t>Sewa Bangunan</t>
  </si>
  <si>
    <t>Mesin dan Peralatan</t>
  </si>
  <si>
    <t>Cutter</t>
  </si>
  <si>
    <t>Lakban</t>
  </si>
  <si>
    <t>Sarung Tangan Safety</t>
  </si>
  <si>
    <t>Rp 18.000.000/12 =           @ Rp 2.000.000</t>
  </si>
  <si>
    <t>Satuan</t>
  </si>
  <si>
    <t>Unit</t>
  </si>
  <si>
    <t>Buah</t>
  </si>
  <si>
    <t>Total Modal Tetap</t>
  </si>
  <si>
    <t>Modal Investasi</t>
  </si>
  <si>
    <t>Perputaran Produksi</t>
  </si>
  <si>
    <t>Modal Kerja</t>
  </si>
  <si>
    <t>Biaya Overhead Pabrik (BOP)</t>
  </si>
  <si>
    <t>Jumlah Produksi =</t>
  </si>
  <si>
    <t>=</t>
  </si>
  <si>
    <t>8 jam kerja / hari</t>
  </si>
  <si>
    <t>1 cetakan = 2 gantungan</t>
  </si>
  <si>
    <t>60 x 2 x 8 = 960</t>
  </si>
  <si>
    <t>BIAYA TETAP</t>
  </si>
  <si>
    <t>Staff Packing</t>
  </si>
  <si>
    <t>Total Gaji Karyawan</t>
  </si>
  <si>
    <t>Jumlah Pekerja</t>
  </si>
  <si>
    <t>Gaji Karyawan</t>
  </si>
  <si>
    <t xml:space="preserve">Staff Pencetakan </t>
  </si>
  <si>
    <t>Staff Sorting &amp; Quality Control</t>
  </si>
  <si>
    <t>Staff Delivery</t>
  </si>
  <si>
    <t>2.</t>
  </si>
  <si>
    <t>3.</t>
  </si>
  <si>
    <t>4.</t>
  </si>
  <si>
    <t>Air</t>
  </si>
  <si>
    <t>Listrik</t>
  </si>
  <si>
    <t>Telepon</t>
  </si>
  <si>
    <t>PENYUSUTAN</t>
  </si>
  <si>
    <t>Total</t>
  </si>
  <si>
    <t>UTILITAS (per bulan)</t>
  </si>
  <si>
    <t>BIAYA BAHAN BAKU DALAM 1 BUAH GANTUNGAN BAJU</t>
  </si>
  <si>
    <t>Baya Pemeliharaan</t>
  </si>
  <si>
    <t>Penggajian Karyawan</t>
  </si>
  <si>
    <t>A. BIAYA TETAP</t>
  </si>
  <si>
    <t>Biaya Kemasan</t>
  </si>
  <si>
    <t xml:space="preserve">Biaya Tidak Tetap </t>
  </si>
  <si>
    <t>BOP</t>
  </si>
  <si>
    <t>B. BIAYA TIDAK TETAP</t>
  </si>
  <si>
    <t>Harga dan Hasil Penjaualan</t>
  </si>
  <si>
    <t>A. Harga Pokok Penjualan (HPP)</t>
  </si>
  <si>
    <t>buah</t>
  </si>
  <si>
    <t>HPP =</t>
  </si>
  <si>
    <t>Harga Jual =</t>
  </si>
  <si>
    <t xml:space="preserve">B. Harga Jual </t>
  </si>
  <si>
    <t>LABA =</t>
  </si>
  <si>
    <t xml:space="preserve">C. Hasil Penjualan </t>
  </si>
  <si>
    <t>Hasil Penjualan =</t>
  </si>
  <si>
    <t>Biaya Biji Plastik 1 karung 25 Kg</t>
  </si>
  <si>
    <t>Kardus Packing 58 x 37 x 18</t>
  </si>
  <si>
    <t>1 buah</t>
  </si>
  <si>
    <t>1 bulan produksi</t>
  </si>
  <si>
    <t>Total Biaya Bahan Baku Produksi</t>
  </si>
  <si>
    <t>ROI</t>
  </si>
  <si>
    <t>Investasi</t>
  </si>
  <si>
    <t>Bunga Bank</t>
  </si>
  <si>
    <t>Laba Bersih (per bulan)</t>
  </si>
  <si>
    <r>
      <t xml:space="preserve">Mesin Pencetak Gantungan plastik </t>
    </r>
    <r>
      <rPr>
        <i/>
        <sz val="11"/>
        <color rgb="FF000000"/>
        <rFont val="Calibri"/>
        <family val="2"/>
        <scheme val="minor"/>
      </rPr>
      <t>(Custom</t>
    </r>
    <r>
      <rPr>
        <sz val="11"/>
        <color rgb="FF000000"/>
        <rFont val="Calibri"/>
        <family val="2"/>
        <scheme val="minor"/>
      </rPr>
      <t xml:space="preserve"> </t>
    </r>
    <r>
      <rPr>
        <i/>
        <sz val="11"/>
        <color rgb="FF000000"/>
        <rFont val="Calibri"/>
        <family val="2"/>
        <scheme val="minor"/>
      </rPr>
      <t>Injection Moulding</t>
    </r>
    <r>
      <rPr>
        <sz val="11"/>
        <color rgb="FF000000"/>
        <rFont val="Calibri"/>
        <family val="2"/>
        <scheme val="minor"/>
      </rPr>
      <t>)</t>
    </r>
  </si>
  <si>
    <t>Rencana Pinjaman ke Bank</t>
  </si>
  <si>
    <t>1 jam = 60 kali cetak</t>
  </si>
  <si>
    <t>1 kali mencetak = 60 detik / 1 menit</t>
  </si>
  <si>
    <t>Payback Period</t>
  </si>
  <si>
    <t>Waktu Payback Period</t>
  </si>
  <si>
    <t>BEP</t>
  </si>
  <si>
    <t>LAPORAN KEUANGAN DENGAN KEMUNGKINAN TERBURUK</t>
  </si>
  <si>
    <t>Tabel perhitungan laba rugi dalam satu tahun dengan asumsi penjualan briket sekam padidari awal tahun hingga akhir tahun tidak terjadi kenaikan produksi. Dengan jumlah produksi flat tiap bulannya yaitu 5.500 unit.</t>
  </si>
  <si>
    <t>BULAN (2020)</t>
  </si>
  <si>
    <t>TOTAL REVENUE</t>
  </si>
  <si>
    <t>TOTAL NPP</t>
  </si>
  <si>
    <t>GROSS PROFIT</t>
  </si>
  <si>
    <t>UTANG BANK</t>
  </si>
  <si>
    <t>PPN 10%</t>
  </si>
  <si>
    <t>NET PROFIT</t>
  </si>
  <si>
    <t>JANUARI</t>
  </si>
  <si>
    <t>by bh bk unit per thn</t>
  </si>
  <si>
    <t>FEBRUARI</t>
  </si>
  <si>
    <t>MARET</t>
  </si>
  <si>
    <t>APRIL</t>
  </si>
  <si>
    <t>MEI</t>
  </si>
  <si>
    <t>JUNI</t>
  </si>
  <si>
    <t>JULI</t>
  </si>
  <si>
    <t>AGUSTUS</t>
  </si>
  <si>
    <t>SEPTEMBER</t>
  </si>
  <si>
    <t>OKTOBER</t>
  </si>
  <si>
    <t>NOPEMBER</t>
  </si>
  <si>
    <t>DESEMBER</t>
  </si>
  <si>
    <t>TOTAL</t>
  </si>
  <si>
    <t>STUDI KELAYAKAN USAHA</t>
  </si>
  <si>
    <t>Tabel perhitungan laba rugi dalam satu tahun dengan asumsi penjualan briket sekam padidari awal tahun hingga akhir tahun tidak terjadi kenaikan produksi. Dengan jumlah produksi flat tiap bulannya yaitu 7.150 unit.</t>
  </si>
  <si>
    <t>Cash Flow</t>
  </si>
  <si>
    <t>Investasi Awal Tahun</t>
  </si>
  <si>
    <t>BULAN (2021)</t>
  </si>
  <si>
    <t>Aliran Kas Tahun 2020</t>
  </si>
  <si>
    <t>Aliran Kas Tahun 2021</t>
  </si>
  <si>
    <t>Aliran Kas Tahun 2022</t>
  </si>
  <si>
    <t>Aliran Kas Tahun 2023</t>
  </si>
  <si>
    <t>Tabel perhitungan laba rugi dalam satu tahun dengan asumsi penjualan briket sekam padidari awal tahun hingga akhir tahun tidak terjadi kenaikan produksi. Dengan jumlah produksi flat tiap bulannya yaitu 9.295 unit.</t>
  </si>
  <si>
    <t>BULAN (2022)</t>
  </si>
  <si>
    <t>Tabel perhitungan laba rugi dalam satu tahun dengan asumsi penjualan briket sekam padidari awal tahun hingga akhir tahun tidak terjadi kenaikan produksi. Dengan jumlah produksi flat tiap bulannya yaitu 12.084 unit.</t>
  </si>
  <si>
    <t>BULAN (2023)</t>
  </si>
  <si>
    <t>Set</t>
  </si>
  <si>
    <t>250 Kg / hari x 22 hari kerja</t>
  </si>
  <si>
    <t>Kg</t>
  </si>
  <si>
    <t>harga produk</t>
  </si>
  <si>
    <t>biaya bh baku</t>
  </si>
  <si>
    <t>Kenaikan produksi produk setiap tahun sebanyak 30%</t>
  </si>
  <si>
    <t>kenaikan 30%</t>
  </si>
  <si>
    <t>tahun</t>
  </si>
  <si>
    <t>bahan baku</t>
  </si>
  <si>
    <t>kemasan</t>
  </si>
  <si>
    <t>total gaji karyawan</t>
  </si>
  <si>
    <t>penyusutan</t>
  </si>
  <si>
    <t>biaya utilitas</t>
  </si>
  <si>
    <t>biaya pemeliharaan</t>
  </si>
  <si>
    <t>biaya tdk tetap</t>
  </si>
  <si>
    <t>HUTANG BANK</t>
  </si>
  <si>
    <t>rencana pinjam</t>
  </si>
  <si>
    <t>bunga bank</t>
  </si>
  <si>
    <t>cicilan perbulan</t>
  </si>
  <si>
    <t>cicilan selama 24 bulan</t>
  </si>
  <si>
    <t>jumlah cicilan pertahun</t>
  </si>
  <si>
    <t>NPV 1</t>
  </si>
  <si>
    <t>IRR</t>
  </si>
  <si>
    <t>Net B/C</t>
  </si>
  <si>
    <t>Gantungan Baju Plastik Multifungsi</t>
  </si>
  <si>
    <t>1 Kg dapat 4 buah gantungan</t>
  </si>
  <si>
    <r>
      <t>≈</t>
    </r>
    <r>
      <rPr>
        <sz val="11"/>
        <color theme="1"/>
        <rFont val="Calibri"/>
        <family val="2"/>
        <charset val="1"/>
      </rPr>
      <t xml:space="preserve"> 4 tahun 1 bulan</t>
    </r>
  </si>
  <si>
    <t>&gt; Bunga Bank (7,5%)</t>
  </si>
  <si>
    <t>jumlah produksi (buah)</t>
  </si>
  <si>
    <t>buah per bulan</t>
  </si>
  <si>
    <t>Metode</t>
  </si>
  <si>
    <t>Hasil</t>
  </si>
  <si>
    <t>Syarat</t>
  </si>
  <si>
    <t>Keputusan</t>
  </si>
  <si>
    <t>&lt; 5 tahun</t>
  </si>
  <si>
    <t>Layak</t>
  </si>
  <si>
    <t>&gt; 9,75%</t>
  </si>
  <si>
    <t>&gt; 0</t>
  </si>
  <si>
    <t>4 tahun 10 bulan</t>
  </si>
  <si>
    <r>
      <rPr>
        <i/>
        <sz val="11"/>
        <color theme="1"/>
        <rFont val="Calibri"/>
        <family val="2"/>
        <scheme val="minor"/>
      </rPr>
      <t>Profability Index</t>
    </r>
    <r>
      <rPr>
        <sz val="11"/>
        <color theme="1"/>
        <rFont val="Calibri"/>
        <family val="2"/>
        <scheme val="minor"/>
      </rPr>
      <t xml:space="preserve"> (PI)</t>
    </r>
  </si>
  <si>
    <r>
      <rPr>
        <i/>
        <sz val="11"/>
        <color theme="1"/>
        <rFont val="Calibri"/>
        <family val="2"/>
        <scheme val="minor"/>
      </rPr>
      <t>Break Even Point</t>
    </r>
    <r>
      <rPr>
        <sz val="11"/>
        <color theme="1"/>
        <rFont val="Calibri"/>
        <family val="2"/>
        <charset val="1"/>
        <scheme val="minor"/>
      </rPr>
      <t xml:space="preserve">  (BEP)</t>
    </r>
  </si>
  <si>
    <r>
      <rPr>
        <i/>
        <sz val="11"/>
        <color theme="1"/>
        <rFont val="Calibri"/>
        <family val="2"/>
        <scheme val="minor"/>
      </rPr>
      <t>Net Present Value</t>
    </r>
    <r>
      <rPr>
        <sz val="11"/>
        <color theme="1"/>
        <rFont val="Calibri"/>
        <family val="2"/>
        <charset val="1"/>
        <scheme val="minor"/>
      </rPr>
      <t xml:space="preserve"> (NPV)</t>
    </r>
  </si>
  <si>
    <r>
      <rPr>
        <i/>
        <sz val="11"/>
        <color theme="1"/>
        <rFont val="Calibri"/>
        <family val="2"/>
        <scheme val="minor"/>
      </rPr>
      <t>Internal Rate of Return</t>
    </r>
    <r>
      <rPr>
        <sz val="11"/>
        <color theme="1"/>
        <rFont val="Calibri"/>
        <family val="2"/>
        <charset val="1"/>
        <scheme val="minor"/>
      </rPr>
      <t xml:space="preserve"> (IRR)</t>
    </r>
  </si>
  <si>
    <r>
      <rPr>
        <i/>
        <sz val="11"/>
        <color theme="1"/>
        <rFont val="Calibri"/>
        <family val="2"/>
        <scheme val="minor"/>
      </rPr>
      <t>Payback Period</t>
    </r>
    <r>
      <rPr>
        <sz val="11"/>
        <color theme="1"/>
        <rFont val="Calibri"/>
        <family val="2"/>
        <charset val="1"/>
        <scheme val="minor"/>
      </rPr>
      <t xml:space="preserve"> (PP)</t>
    </r>
  </si>
  <si>
    <t>Biaya Bahan Baku (Biji Plastik)</t>
  </si>
  <si>
    <t>biaya bahan baku untuk 1 buah gantungan baju</t>
  </si>
  <si>
    <t>Total 1 bulan Produksi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</si>
</sst>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164" formatCode="_(&quot;Rp&quot;* #,##0_);_(&quot;Rp&quot;* \(#,##0\);_(&quot;Rp&quot;* &quot;-&quot;_);_(@_)"/>
    <numFmt numFmtId="165" formatCode="_(&quot;Rp&quot;* #,##0.00_);_(&quot;Rp&quot;* \(#,##0.00\);_(&quot;Rp&quot;* &quot;-&quot;??_);_(@_)"/>
    <numFmt numFmtId="166" formatCode="_-[$Rp-421]* #,##0.00_-;\-[$Rp-421]* #,##0.00_-;_-[$Rp-421]* &quot;-&quot;??_-;_-@_-"/>
    <numFmt numFmtId="167" formatCode="_-[$Rp-421]* #,##0_-;\-[$Rp-421]* #,##0_-;_-[$Rp-421]* &quot;-&quot;_-;_-@_-"/>
    <numFmt numFmtId="168" formatCode="0.0%"/>
    <numFmt numFmtId="169" formatCode="[$Rp-421]#,##0.00;\-[$Rp-421]#,##0.00"/>
  </numFmts>
  <fonts count="15"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sz val="11"/>
      <color theme="1"/>
      <name val="Calibri"/>
      <family val="2"/>
      <scheme val="minor"/>
    </font>
    <font>
      <b/>
      <sz val="10.5"/>
      <color rgb="FF000000"/>
      <name val="Calibri"/>
      <family val="2"/>
      <scheme val="minor"/>
    </font>
    <font>
      <sz val="11"/>
      <color rgb="FF000000"/>
      <name val="Calibri"/>
      <family val="2"/>
      <scheme val="minor"/>
    </font>
    <font>
      <b/>
      <sz val="11"/>
      <color rgb="FF00000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sz val="11"/>
      <color theme="1"/>
      <name val="Calibri"/>
      <family val="2"/>
    </font>
    <font>
      <sz val="11"/>
      <color theme="1"/>
      <name val="Calibri"/>
      <family val="2"/>
      <charset val="1"/>
    </font>
  </fonts>
  <fills count="6">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1" fontId="5" fillId="0" borderId="0" applyFont="0" applyFill="0" applyBorder="0" applyAlignment="0" applyProtection="0"/>
    <xf numFmtId="0" fontId="4" fillId="0" borderId="0"/>
  </cellStyleXfs>
  <cellXfs count="98">
    <xf numFmtId="0" fontId="0" fillId="0" borderId="0" xfId="0"/>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0" fillId="4" borderId="0" xfId="0" applyFill="1"/>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16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64" fontId="6" fillId="0" borderId="1" xfId="1" applyNumberFormat="1" applyFont="1" applyBorder="1" applyAlignment="1">
      <alignment horizontal="center" vertical="center"/>
    </xf>
    <xf numFmtId="164" fontId="7" fillId="2" borderId="1" xfId="0" applyNumberFormat="1"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64" fontId="0" fillId="0" borderId="0" xfId="0" applyNumberFormat="1"/>
    <xf numFmtId="0" fontId="0" fillId="0" borderId="0" xfId="0" applyAlignment="1">
      <alignment horizontal="left"/>
    </xf>
    <xf numFmtId="0" fontId="0" fillId="0" borderId="0" xfId="0" applyAlignment="1">
      <alignment horizontal="right"/>
    </xf>
    <xf numFmtId="0" fontId="0" fillId="4" borderId="0" xfId="0" applyFill="1" applyAlignment="1">
      <alignment vertical="center"/>
    </xf>
    <xf numFmtId="0" fontId="6" fillId="0" borderId="1" xfId="0" applyFont="1" applyBorder="1" applyAlignment="1">
      <alignment horizontal="justify" vertical="center"/>
    </xf>
    <xf numFmtId="0" fontId="6" fillId="0" borderId="0" xfId="0" applyFont="1" applyFill="1" applyBorder="1" applyAlignment="1">
      <alignment horizontal="justify" vertical="center"/>
    </xf>
    <xf numFmtId="164" fontId="0" fillId="0" borderId="1" xfId="0" applyNumberFormat="1" applyBorder="1"/>
    <xf numFmtId="0" fontId="0" fillId="0" borderId="0" xfId="0" applyAlignment="1">
      <alignment vertical="center"/>
    </xf>
    <xf numFmtId="164" fontId="0" fillId="0" borderId="0" xfId="0" applyNumberFormat="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horizontal="right" vertical="center"/>
    </xf>
    <xf numFmtId="164" fontId="0" fillId="0" borderId="5" xfId="0" applyNumberFormat="1" applyBorder="1"/>
    <xf numFmtId="164" fontId="0" fillId="0" borderId="6" xfId="0" applyNumberFormat="1" applyBorder="1"/>
    <xf numFmtId="3"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164" fontId="0" fillId="0" borderId="0" xfId="0" applyNumberFormat="1" applyBorder="1"/>
    <xf numFmtId="9" fontId="0" fillId="0" borderId="0" xfId="0" applyNumberFormat="1" applyAlignment="1">
      <alignment vertical="center"/>
    </xf>
    <xf numFmtId="9" fontId="0" fillId="0" borderId="0" xfId="0" applyNumberFormat="1" applyAlignment="1">
      <alignment horizontal="center"/>
    </xf>
    <xf numFmtId="0" fontId="13" fillId="0" borderId="0" xfId="0" applyFont="1"/>
    <xf numFmtId="2" fontId="0" fillId="0" borderId="0" xfId="0" applyNumberFormat="1" applyAlignment="1">
      <alignment horizontal="left" vertical="center"/>
    </xf>
    <xf numFmtId="3" fontId="0" fillId="0" borderId="0" xfId="0" applyNumberFormat="1" applyAlignment="1">
      <alignment horizontal="right" vertical="center"/>
    </xf>
    <xf numFmtId="0" fontId="10" fillId="0" borderId="1" xfId="0" applyFont="1" applyBorder="1" applyAlignment="1">
      <alignment horizontal="center" vertical="center"/>
    </xf>
    <xf numFmtId="0" fontId="0" fillId="0" borderId="1" xfId="0" applyBorder="1" applyAlignment="1">
      <alignment horizontal="left" vertical="center"/>
    </xf>
    <xf numFmtId="165" fontId="6" fillId="0" borderId="1" xfId="0" applyNumberFormat="1" applyFont="1" applyBorder="1" applyAlignment="1">
      <alignment horizontal="center"/>
    </xf>
    <xf numFmtId="165" fontId="0" fillId="0" borderId="1" xfId="0" applyNumberFormat="1" applyBorder="1" applyAlignment="1">
      <alignment horizontal="center" vertical="center"/>
    </xf>
    <xf numFmtId="165" fontId="0" fillId="0" borderId="1" xfId="0" applyNumberFormat="1" applyBorder="1"/>
    <xf numFmtId="41" fontId="0" fillId="0" borderId="0" xfId="0" applyNumberFormat="1"/>
    <xf numFmtId="165" fontId="0" fillId="0" borderId="0" xfId="0" applyNumberFormat="1"/>
    <xf numFmtId="165" fontId="0" fillId="0" borderId="1" xfId="0" applyNumberFormat="1" applyBorder="1" applyAlignment="1">
      <alignment vertical="center"/>
    </xf>
    <xf numFmtId="0" fontId="0" fillId="0" borderId="1" xfId="0" applyBorder="1" applyAlignment="1">
      <alignment horizontal="center" vertical="center"/>
    </xf>
    <xf numFmtId="165" fontId="0" fillId="0" borderId="1" xfId="0" applyNumberFormat="1" applyBorder="1" applyAlignment="1">
      <alignment horizontal="left" vertical="center"/>
    </xf>
    <xf numFmtId="0" fontId="6" fillId="0" borderId="1" xfId="0" applyFont="1" applyFill="1" applyBorder="1" applyAlignment="1">
      <alignment horizontal="left" vertical="center"/>
    </xf>
    <xf numFmtId="164" fontId="0" fillId="0" borderId="1" xfId="0" applyNumberFormat="1" applyBorder="1" applyAlignment="1">
      <alignment vertical="center"/>
    </xf>
    <xf numFmtId="39" fontId="0" fillId="0" borderId="1" xfId="0" applyNumberFormat="1" applyBorder="1" applyAlignment="1">
      <alignment vertical="center"/>
    </xf>
    <xf numFmtId="0" fontId="0" fillId="0" borderId="0" xfId="0" applyAlignment="1">
      <alignment horizontal="center"/>
    </xf>
    <xf numFmtId="0" fontId="0" fillId="0" borderId="0" xfId="0" applyAlignment="1"/>
    <xf numFmtId="166" fontId="0" fillId="0" borderId="0" xfId="0" applyNumberFormat="1" applyAlignment="1">
      <alignment horizontal="left"/>
    </xf>
    <xf numFmtId="166" fontId="0" fillId="0" borderId="0" xfId="0" applyNumberFormat="1"/>
    <xf numFmtId="166" fontId="6" fillId="0" borderId="0" xfId="0" applyNumberFormat="1" applyFont="1"/>
    <xf numFmtId="167" fontId="0" fillId="0" borderId="0" xfId="0" applyNumberFormat="1"/>
    <xf numFmtId="166" fontId="0" fillId="0" borderId="0" xfId="0" applyNumberFormat="1" applyAlignment="1">
      <alignment horizontal="center"/>
    </xf>
    <xf numFmtId="166" fontId="0" fillId="0" borderId="1" xfId="0" applyNumberFormat="1" applyBorder="1" applyAlignment="1">
      <alignment vertical="center"/>
    </xf>
    <xf numFmtId="0" fontId="4" fillId="0" borderId="0" xfId="2"/>
    <xf numFmtId="165" fontId="0" fillId="0" borderId="0" xfId="0" applyNumberFormat="1" applyAlignment="1">
      <alignment horizontal="left" vertical="center"/>
    </xf>
    <xf numFmtId="44" fontId="4" fillId="0" borderId="0" xfId="2" applyNumberFormat="1" applyAlignment="1">
      <alignment horizontal="center" vertical="center"/>
    </xf>
    <xf numFmtId="10" fontId="4" fillId="0" borderId="0" xfId="2" applyNumberFormat="1" applyAlignment="1">
      <alignment horizontal="center" vertical="center"/>
    </xf>
    <xf numFmtId="166" fontId="4" fillId="0" borderId="0" xfId="2" quotePrefix="1" applyNumberFormat="1" applyAlignment="1">
      <alignment horizontal="center" vertical="center"/>
    </xf>
    <xf numFmtId="0" fontId="4" fillId="0" borderId="0" xfId="2" applyAlignment="1">
      <alignment horizontal="center" vertical="center"/>
    </xf>
    <xf numFmtId="168" fontId="4" fillId="0" borderId="0" xfId="2" applyNumberFormat="1" applyAlignment="1">
      <alignment horizontal="center" vertical="center"/>
    </xf>
    <xf numFmtId="169" fontId="4" fillId="0" borderId="0" xfId="2" quotePrefix="1" applyNumberFormat="1" applyAlignment="1">
      <alignment horizontal="center" vertical="center"/>
    </xf>
    <xf numFmtId="0" fontId="4" fillId="0" borderId="0" xfId="2" applyAlignment="1">
      <alignment horizontal="center" vertical="center"/>
    </xf>
    <xf numFmtId="0" fontId="3" fillId="0" borderId="0" xfId="0" applyFont="1" applyAlignment="1">
      <alignment horizontal="justify" vertical="center"/>
    </xf>
    <xf numFmtId="0" fontId="4" fillId="0" borderId="1" xfId="2" applyBorder="1" applyAlignment="1">
      <alignment horizontal="center" vertical="center"/>
    </xf>
    <xf numFmtId="16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2" applyFont="1" applyBorder="1" applyAlignment="1">
      <alignment horizontal="center" vertical="center"/>
    </xf>
    <xf numFmtId="0" fontId="0" fillId="0" borderId="0" xfId="0" applyAlignment="1">
      <alignment horizontal="center"/>
    </xf>
    <xf numFmtId="0" fontId="0" fillId="3" borderId="0" xfId="0" applyFill="1" applyAlignment="1">
      <alignment horizontal="center"/>
    </xf>
    <xf numFmtId="0" fontId="0" fillId="3" borderId="0" xfId="0" applyFill="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8" xfId="0" applyBorder="1" applyAlignment="1">
      <alignment horizontal="center"/>
    </xf>
    <xf numFmtId="0" fontId="8" fillId="0"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10" fillId="0" borderId="1" xfId="0" applyFont="1" applyBorder="1" applyAlignment="1">
      <alignment horizontal="center" vertical="center"/>
    </xf>
  </cellXfs>
  <cellStyles count="3">
    <cellStyle name="Comma [0]" xfId="1" builtinId="6"/>
    <cellStyle name="Normal" xfId="0" builtinId="0"/>
    <cellStyle name="Normal 2" xfId="2" xr:uid="{B7E0D27C-06CD-4987-9204-6C13D5A1D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35"/>
  <sheetViews>
    <sheetView tabSelected="1" zoomScaleNormal="100" workbookViewId="0">
      <selection activeCell="M28" sqref="M28"/>
    </sheetView>
  </sheetViews>
  <sheetFormatPr defaultRowHeight="15" x14ac:dyDescent="0.25"/>
  <cols>
    <col min="2" max="2" width="5.140625" customWidth="1"/>
    <col min="3" max="3" width="31.28515625" customWidth="1"/>
    <col min="4" max="4" width="8.5703125" customWidth="1"/>
    <col min="5" max="5" width="13" customWidth="1"/>
    <col min="6" max="6" width="18.85546875" customWidth="1"/>
    <col min="7" max="7" width="17.85546875" customWidth="1"/>
    <col min="8" max="8" width="15.28515625" customWidth="1"/>
    <col min="10" max="10" width="7" customWidth="1"/>
    <col min="11" max="11" width="27.28515625" customWidth="1"/>
    <col min="12" max="12" width="8.5703125" customWidth="1"/>
    <col min="13" max="13" width="18.28515625" customWidth="1"/>
    <col min="14" max="14" width="15" customWidth="1"/>
    <col min="15" max="15" width="15" bestFit="1" customWidth="1"/>
    <col min="17" max="17" width="17.85546875" customWidth="1"/>
    <col min="18" max="18" width="17.7109375" customWidth="1"/>
    <col min="19" max="19" width="15.7109375" customWidth="1"/>
    <col min="20" max="20" width="20" customWidth="1"/>
    <col min="21" max="21" width="16.42578125" customWidth="1"/>
    <col min="22" max="22" width="17.28515625" customWidth="1"/>
    <col min="23" max="23" width="22.85546875" customWidth="1"/>
    <col min="24" max="24" width="18.5703125" customWidth="1"/>
    <col min="25" max="25" width="15.7109375" customWidth="1"/>
    <col min="26" max="26" width="23.42578125" customWidth="1"/>
    <col min="27" max="27" width="17.140625" customWidth="1"/>
    <col min="28" max="28" width="19" customWidth="1"/>
    <col min="29" max="29" width="21.140625" customWidth="1"/>
    <col min="30" max="30" width="16.140625" customWidth="1"/>
  </cols>
  <sheetData>
    <row r="2" spans="2:30" x14ac:dyDescent="0.25">
      <c r="B2" s="83" t="s">
        <v>0</v>
      </c>
      <c r="C2" s="83"/>
      <c r="D2" s="83"/>
      <c r="E2" s="83"/>
      <c r="F2" s="83"/>
      <c r="G2" s="83"/>
      <c r="J2" s="83" t="s">
        <v>21</v>
      </c>
      <c r="K2" s="83"/>
      <c r="L2" s="83"/>
      <c r="M2" s="83"/>
      <c r="N2" s="83"/>
      <c r="O2" s="83"/>
      <c r="P2" s="83"/>
      <c r="Q2" s="83"/>
      <c r="R2" s="83"/>
      <c r="T2" s="83" t="s">
        <v>52</v>
      </c>
      <c r="U2" s="83"/>
      <c r="W2" s="83" t="s">
        <v>66</v>
      </c>
      <c r="X2" s="83"/>
      <c r="Z2" s="83" t="s">
        <v>74</v>
      </c>
      <c r="AA2" s="83"/>
    </row>
    <row r="3" spans="2:30" x14ac:dyDescent="0.25">
      <c r="K3" s="36" t="s">
        <v>22</v>
      </c>
      <c r="L3" s="21" t="s">
        <v>114</v>
      </c>
      <c r="O3" t="s">
        <v>73</v>
      </c>
      <c r="R3" t="s">
        <v>72</v>
      </c>
    </row>
    <row r="4" spans="2:30" x14ac:dyDescent="0.25">
      <c r="B4" s="8" t="s">
        <v>1</v>
      </c>
      <c r="C4" s="8"/>
      <c r="D4" s="8"/>
      <c r="E4" s="8"/>
      <c r="F4" s="8"/>
      <c r="G4" s="8"/>
      <c r="K4" s="36" t="s">
        <v>23</v>
      </c>
      <c r="L4" s="21">
        <f>250*22</f>
        <v>5500</v>
      </c>
      <c r="M4" t="s">
        <v>115</v>
      </c>
      <c r="O4" t="s">
        <v>25</v>
      </c>
      <c r="T4" s="39" t="s">
        <v>53</v>
      </c>
      <c r="W4" t="s">
        <v>67</v>
      </c>
      <c r="X4" s="20">
        <f>SUM(G9:G13)</f>
        <v>300725000</v>
      </c>
      <c r="Z4" t="s">
        <v>75</v>
      </c>
      <c r="AA4" s="44">
        <f>X9/X5*100%</f>
        <v>4.0750387829081669</v>
      </c>
    </row>
    <row r="5" spans="2:30" ht="15" customHeight="1" x14ac:dyDescent="0.25">
      <c r="K5" s="22" t="s">
        <v>23</v>
      </c>
      <c r="L5" s="35">
        <f>L4*4</f>
        <v>22000</v>
      </c>
      <c r="M5" t="s">
        <v>54</v>
      </c>
      <c r="O5" t="s">
        <v>24</v>
      </c>
      <c r="Q5" t="s">
        <v>26</v>
      </c>
      <c r="T5" s="36" t="s">
        <v>55</v>
      </c>
      <c r="U5" s="20">
        <f>R9/L5</f>
        <v>10838.246590909092</v>
      </c>
      <c r="W5" t="s">
        <v>69</v>
      </c>
      <c r="X5" s="20">
        <f>U13-R9-(U13*10%)</f>
        <v>98158575</v>
      </c>
      <c r="AA5" s="43" t="s">
        <v>139</v>
      </c>
      <c r="AD5" s="43"/>
    </row>
    <row r="6" spans="2:30" ht="15" customHeight="1" x14ac:dyDescent="0.25">
      <c r="B6" s="9" t="s">
        <v>3</v>
      </c>
      <c r="C6" s="9" t="s">
        <v>4</v>
      </c>
      <c r="D6" s="9" t="s">
        <v>5</v>
      </c>
      <c r="E6" s="9" t="s">
        <v>14</v>
      </c>
      <c r="F6" s="9" t="s">
        <v>6</v>
      </c>
      <c r="G6" s="10" t="s">
        <v>7</v>
      </c>
      <c r="W6" t="s">
        <v>68</v>
      </c>
      <c r="X6" s="20">
        <f>X4*7.5%</f>
        <v>22554375</v>
      </c>
    </row>
    <row r="7" spans="2:30" ht="30" customHeight="1" x14ac:dyDescent="0.25">
      <c r="B7" s="3">
        <v>1</v>
      </c>
      <c r="C7" s="4" t="s">
        <v>8</v>
      </c>
      <c r="D7" s="2">
        <v>1</v>
      </c>
      <c r="E7" s="2" t="s">
        <v>15</v>
      </c>
      <c r="F7" s="12" t="s">
        <v>13</v>
      </c>
      <c r="G7" s="13">
        <v>2000000</v>
      </c>
      <c r="H7" s="28">
        <f>5%*G7</f>
        <v>100000</v>
      </c>
      <c r="J7" s="23" t="s">
        <v>47</v>
      </c>
      <c r="K7" s="23"/>
      <c r="P7" s="23" t="s">
        <v>51</v>
      </c>
      <c r="Q7" s="23"/>
      <c r="T7" s="36" t="s">
        <v>58</v>
      </c>
      <c r="U7" s="38">
        <f>17000-U5</f>
        <v>6161.7534090909085</v>
      </c>
      <c r="W7" s="37" t="s">
        <v>66</v>
      </c>
      <c r="X7" s="41">
        <f>(X5/X4)*100%</f>
        <v>0.326406434450079</v>
      </c>
      <c r="Z7" s="84" t="s">
        <v>76</v>
      </c>
      <c r="AA7" s="84"/>
      <c r="AB7" s="84"/>
    </row>
    <row r="8" spans="2:30" ht="15" customHeight="1" x14ac:dyDescent="0.25">
      <c r="B8" s="2">
        <v>2</v>
      </c>
      <c r="C8" s="4" t="s">
        <v>9</v>
      </c>
      <c r="D8" s="3"/>
      <c r="E8" s="2"/>
      <c r="F8" s="14"/>
      <c r="G8" s="13"/>
      <c r="H8" s="27"/>
      <c r="J8" s="90" t="s">
        <v>46</v>
      </c>
      <c r="K8" s="90"/>
      <c r="L8" s="90"/>
      <c r="M8" s="90"/>
      <c r="N8" s="90"/>
      <c r="P8" t="s">
        <v>49</v>
      </c>
      <c r="R8" s="20">
        <v>4000000</v>
      </c>
    </row>
    <row r="9" spans="2:30" ht="30" customHeight="1" x14ac:dyDescent="0.25">
      <c r="B9" s="2"/>
      <c r="C9" s="4" t="s">
        <v>70</v>
      </c>
      <c r="D9" s="3">
        <v>1</v>
      </c>
      <c r="E9" s="2" t="s">
        <v>113</v>
      </c>
      <c r="F9" s="15">
        <v>300000000</v>
      </c>
      <c r="G9" s="16">
        <f>D9*F9</f>
        <v>300000000</v>
      </c>
      <c r="H9" s="28">
        <f>33.3%*SUM(G9:G13)</f>
        <v>100141424.99999999</v>
      </c>
      <c r="J9" s="9" t="s">
        <v>3</v>
      </c>
      <c r="K9" s="9" t="s">
        <v>4</v>
      </c>
      <c r="L9" s="9" t="s">
        <v>30</v>
      </c>
      <c r="M9" s="9" t="s">
        <v>31</v>
      </c>
      <c r="N9" s="9" t="s">
        <v>31</v>
      </c>
      <c r="P9" s="91" t="s">
        <v>50</v>
      </c>
      <c r="Q9" s="91"/>
      <c r="R9" s="28">
        <f>N25+R8</f>
        <v>238441425</v>
      </c>
      <c r="T9" s="39" t="s">
        <v>57</v>
      </c>
      <c r="U9" s="37"/>
      <c r="W9" s="27" t="s">
        <v>71</v>
      </c>
      <c r="X9" s="28">
        <v>400000000</v>
      </c>
      <c r="Z9" s="37" t="s">
        <v>76</v>
      </c>
      <c r="AA9" s="45">
        <f>K35/U10</f>
        <v>7117.6470588235297</v>
      </c>
      <c r="AB9" s="27" t="s">
        <v>142</v>
      </c>
    </row>
    <row r="10" spans="2:30" ht="15" customHeight="1" x14ac:dyDescent="0.25">
      <c r="B10" s="2"/>
      <c r="C10" s="6" t="s">
        <v>12</v>
      </c>
      <c r="D10" s="5">
        <v>5</v>
      </c>
      <c r="E10" s="2" t="s">
        <v>16</v>
      </c>
      <c r="F10" s="13">
        <v>10000</v>
      </c>
      <c r="G10" s="16">
        <f>D10*F10</f>
        <v>50000</v>
      </c>
      <c r="H10" s="27"/>
      <c r="J10" s="3" t="s">
        <v>2</v>
      </c>
      <c r="K10" s="24" t="s">
        <v>32</v>
      </c>
      <c r="L10" s="1">
        <v>2</v>
      </c>
      <c r="M10" s="26">
        <v>1500000</v>
      </c>
      <c r="N10" s="26">
        <f>L10*M10</f>
        <v>3000000</v>
      </c>
      <c r="T10" s="36" t="s">
        <v>56</v>
      </c>
      <c r="U10" s="38">
        <f>U5+U7</f>
        <v>17000</v>
      </c>
      <c r="X10" s="42">
        <f>(X5/X9)*100%</f>
        <v>0.24539643750000001</v>
      </c>
    </row>
    <row r="11" spans="2:30" ht="15" customHeight="1" x14ac:dyDescent="0.25">
      <c r="B11" s="3"/>
      <c r="C11" s="11" t="s">
        <v>10</v>
      </c>
      <c r="D11" s="5">
        <v>5</v>
      </c>
      <c r="E11" s="2" t="s">
        <v>16</v>
      </c>
      <c r="F11" s="13">
        <v>15000</v>
      </c>
      <c r="G11" s="16">
        <f>D11*F11</f>
        <v>75000</v>
      </c>
      <c r="J11" s="2" t="s">
        <v>35</v>
      </c>
      <c r="K11" s="24" t="s">
        <v>33</v>
      </c>
      <c r="L11" s="1">
        <v>2</v>
      </c>
      <c r="M11" s="26">
        <v>1500000</v>
      </c>
      <c r="N11" s="26">
        <f>L11*M11</f>
        <v>3000000</v>
      </c>
      <c r="W11" s="20"/>
      <c r="X11" s="76" t="s">
        <v>140</v>
      </c>
    </row>
    <row r="12" spans="2:30" ht="15" customHeight="1" x14ac:dyDescent="0.25">
      <c r="B12" s="2"/>
      <c r="C12" s="7" t="s">
        <v>62</v>
      </c>
      <c r="D12" s="1">
        <v>30</v>
      </c>
      <c r="E12" s="2" t="s">
        <v>16</v>
      </c>
      <c r="F12" s="13">
        <v>15000</v>
      </c>
      <c r="G12" s="16">
        <f>D12*F12</f>
        <v>450000</v>
      </c>
      <c r="J12" s="3" t="s">
        <v>36</v>
      </c>
      <c r="K12" s="24" t="s">
        <v>28</v>
      </c>
      <c r="L12" s="1">
        <v>2</v>
      </c>
      <c r="M12" s="26">
        <v>1500000</v>
      </c>
      <c r="N12" s="26">
        <f>L12*M12</f>
        <v>3000000</v>
      </c>
      <c r="T12" s="39" t="s">
        <v>59</v>
      </c>
      <c r="X12" s="20"/>
      <c r="Y12" s="20"/>
    </row>
    <row r="13" spans="2:30" ht="15" customHeight="1" x14ac:dyDescent="0.25">
      <c r="B13" s="2"/>
      <c r="C13" s="7" t="s">
        <v>11</v>
      </c>
      <c r="D13" s="1">
        <v>10</v>
      </c>
      <c r="E13" s="2" t="s">
        <v>16</v>
      </c>
      <c r="F13" s="13">
        <v>15000</v>
      </c>
      <c r="G13" s="16">
        <f>D13*F13</f>
        <v>150000</v>
      </c>
      <c r="H13" s="27"/>
      <c r="J13" s="2" t="s">
        <v>37</v>
      </c>
      <c r="K13" s="25" t="s">
        <v>34</v>
      </c>
      <c r="L13" s="1">
        <v>2</v>
      </c>
      <c r="M13" s="26">
        <v>1500000</v>
      </c>
      <c r="N13" s="26">
        <f>L13*M13</f>
        <v>3000000</v>
      </c>
      <c r="T13" s="36" t="s">
        <v>60</v>
      </c>
      <c r="U13" s="20">
        <f>L5*U10</f>
        <v>374000000</v>
      </c>
      <c r="X13" s="20"/>
      <c r="Y13" s="20"/>
    </row>
    <row r="14" spans="2:30" ht="15" customHeight="1" x14ac:dyDescent="0.25">
      <c r="B14" s="92" t="s">
        <v>17</v>
      </c>
      <c r="C14" s="93"/>
      <c r="D14" s="93"/>
      <c r="E14" s="93"/>
      <c r="F14" s="94"/>
      <c r="G14" s="17">
        <f>SUM(G7:G13)</f>
        <v>302725000</v>
      </c>
      <c r="J14" s="87" t="s">
        <v>29</v>
      </c>
      <c r="K14" s="88"/>
      <c r="L14" s="88"/>
      <c r="M14" s="89"/>
      <c r="N14" s="26">
        <f>SUM(N10:N13)</f>
        <v>12000000</v>
      </c>
      <c r="X14" s="20"/>
      <c r="Y14" s="20"/>
    </row>
    <row r="15" spans="2:30" ht="15" customHeight="1" x14ac:dyDescent="0.25">
      <c r="H15" s="27"/>
      <c r="X15" s="20"/>
      <c r="Y15" s="20"/>
    </row>
    <row r="16" spans="2:30" ht="15" customHeight="1" x14ac:dyDescent="0.25">
      <c r="F16" s="18" t="s">
        <v>19</v>
      </c>
      <c r="G16" s="19">
        <v>5</v>
      </c>
      <c r="K16" s="27" t="s">
        <v>41</v>
      </c>
      <c r="M16" s="85" t="s">
        <v>43</v>
      </c>
      <c r="N16" s="86"/>
      <c r="X16" s="20"/>
      <c r="Y16" s="20"/>
    </row>
    <row r="17" spans="6:25" ht="15" customHeight="1" x14ac:dyDescent="0.25">
      <c r="F17" s="18" t="s">
        <v>20</v>
      </c>
      <c r="G17" s="20">
        <f>G16*SUM(G9:G13)</f>
        <v>1503625000</v>
      </c>
      <c r="K17" s="28">
        <f>H7+H9</f>
        <v>100241424.99999999</v>
      </c>
      <c r="M17" s="29" t="s">
        <v>39</v>
      </c>
      <c r="N17" s="33">
        <f>500000</f>
        <v>500000</v>
      </c>
      <c r="X17" s="20"/>
      <c r="Y17" s="20"/>
    </row>
    <row r="18" spans="6:25" ht="15" customHeight="1" x14ac:dyDescent="0.25">
      <c r="F18" s="18" t="s">
        <v>18</v>
      </c>
      <c r="G18" s="20">
        <f>G17+G14</f>
        <v>1806350000</v>
      </c>
      <c r="M18" s="30" t="s">
        <v>38</v>
      </c>
      <c r="N18" s="34">
        <v>100000</v>
      </c>
    </row>
    <row r="19" spans="6:25" ht="15" customHeight="1" x14ac:dyDescent="0.25">
      <c r="K19" t="s">
        <v>45</v>
      </c>
      <c r="M19" s="31" t="s">
        <v>40</v>
      </c>
      <c r="N19" s="34">
        <v>100000</v>
      </c>
    </row>
    <row r="20" spans="6:25" ht="15" customHeight="1" x14ac:dyDescent="0.25">
      <c r="K20" s="20">
        <v>500000</v>
      </c>
      <c r="M20" s="32" t="s">
        <v>42</v>
      </c>
      <c r="N20" s="26">
        <f>SUM(N17:N19)</f>
        <v>700000</v>
      </c>
    </row>
    <row r="21" spans="6:25" ht="15" customHeight="1" x14ac:dyDescent="0.25"/>
    <row r="23" spans="6:25" x14ac:dyDescent="0.25">
      <c r="J23" t="s">
        <v>44</v>
      </c>
    </row>
    <row r="24" spans="6:25" x14ac:dyDescent="0.25">
      <c r="J24" t="s">
        <v>61</v>
      </c>
    </row>
    <row r="25" spans="6:25" x14ac:dyDescent="0.25">
      <c r="K25" s="40">
        <f>500000</f>
        <v>500000</v>
      </c>
      <c r="M25" t="s">
        <v>27</v>
      </c>
      <c r="N25" s="20">
        <f>N14+K17+N20+K20+K35</f>
        <v>234441425</v>
      </c>
    </row>
    <row r="26" spans="6:25" x14ac:dyDescent="0.25">
      <c r="J26" t="s">
        <v>138</v>
      </c>
    </row>
    <row r="27" spans="6:25" x14ac:dyDescent="0.25">
      <c r="J27" t="s">
        <v>63</v>
      </c>
      <c r="K27" s="38">
        <f>K25/(25*4)</f>
        <v>5000</v>
      </c>
    </row>
    <row r="28" spans="6:25" x14ac:dyDescent="0.25">
      <c r="I28" t="s">
        <v>64</v>
      </c>
      <c r="K28" s="20">
        <f>K27*L5</f>
        <v>110000000</v>
      </c>
      <c r="M28" t="s">
        <v>158</v>
      </c>
      <c r="O28" t="s">
        <v>159</v>
      </c>
    </row>
    <row r="29" spans="6:25" x14ac:dyDescent="0.25">
      <c r="M29" t="s">
        <v>157</v>
      </c>
      <c r="N29" s="20">
        <f>K27</f>
        <v>5000</v>
      </c>
      <c r="O29" s="20">
        <f>K28</f>
        <v>110000000</v>
      </c>
    </row>
    <row r="30" spans="6:25" x14ac:dyDescent="0.25">
      <c r="J30" t="s">
        <v>48</v>
      </c>
      <c r="M30" t="s">
        <v>48</v>
      </c>
      <c r="N30" s="20">
        <f>K31</f>
        <v>500</v>
      </c>
      <c r="O30" s="20">
        <f>K32</f>
        <v>11000000</v>
      </c>
    </row>
    <row r="31" spans="6:25" x14ac:dyDescent="0.25">
      <c r="J31" t="s">
        <v>63</v>
      </c>
      <c r="K31" s="40">
        <f>500</f>
        <v>500</v>
      </c>
      <c r="M31" s="82" t="s">
        <v>42</v>
      </c>
      <c r="N31" s="82"/>
      <c r="O31" s="20">
        <f>K35</f>
        <v>121000000</v>
      </c>
    </row>
    <row r="32" spans="6:25" x14ac:dyDescent="0.25">
      <c r="I32" t="s">
        <v>64</v>
      </c>
      <c r="K32" s="20">
        <f>K31*L5</f>
        <v>11000000</v>
      </c>
    </row>
    <row r="34" spans="10:11" x14ac:dyDescent="0.25">
      <c r="J34" t="s">
        <v>65</v>
      </c>
    </row>
    <row r="35" spans="10:11" x14ac:dyDescent="0.25">
      <c r="K35" s="20">
        <f>K28+K32</f>
        <v>121000000</v>
      </c>
    </row>
  </sheetData>
  <mergeCells count="12">
    <mergeCell ref="B14:F14"/>
    <mergeCell ref="B2:G2"/>
    <mergeCell ref="J8:N8"/>
    <mergeCell ref="P9:Q9"/>
    <mergeCell ref="J2:R2"/>
    <mergeCell ref="W2:X2"/>
    <mergeCell ref="T2:U2"/>
    <mergeCell ref="M31:N31"/>
    <mergeCell ref="Z2:AA2"/>
    <mergeCell ref="Z7:AB7"/>
    <mergeCell ref="M16:N16"/>
    <mergeCell ref="J14:M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1"/>
  <sheetViews>
    <sheetView workbookViewId="0">
      <selection activeCell="J26" sqref="J26"/>
    </sheetView>
  </sheetViews>
  <sheetFormatPr defaultRowHeight="15" x14ac:dyDescent="0.25"/>
  <cols>
    <col min="1" max="1" width="12.7109375" customWidth="1"/>
    <col min="2" max="2" width="17.5703125" customWidth="1"/>
    <col min="3" max="3" width="17.42578125" customWidth="1"/>
    <col min="4" max="4" width="17.28515625" customWidth="1"/>
    <col min="5" max="5" width="17.5703125" customWidth="1"/>
    <col min="6" max="6" width="16.140625" customWidth="1"/>
    <col min="7" max="7" width="19.7109375" customWidth="1"/>
    <col min="9" max="9" width="21.28515625" customWidth="1"/>
    <col min="10" max="10" width="20.42578125" customWidth="1"/>
    <col min="11" max="11" width="21.7109375" customWidth="1"/>
    <col min="12" max="12" width="18.85546875" customWidth="1"/>
    <col min="13" max="13" width="12.7109375" customWidth="1"/>
    <col min="14" max="14" width="16.42578125" customWidth="1"/>
    <col min="15" max="15" width="22" customWidth="1"/>
    <col min="16" max="16" width="14.85546875" customWidth="1"/>
  </cols>
  <sheetData>
    <row r="1" spans="1:16" x14ac:dyDescent="0.25">
      <c r="A1" s="97" t="s">
        <v>77</v>
      </c>
      <c r="B1" s="97"/>
      <c r="C1" s="97"/>
      <c r="D1" s="97"/>
      <c r="E1" s="97"/>
      <c r="F1" s="97"/>
      <c r="G1" s="97"/>
      <c r="N1" s="60" t="s">
        <v>118</v>
      </c>
      <c r="O1" s="60"/>
      <c r="P1" s="60"/>
    </row>
    <row r="2" spans="1:16" ht="15" customHeight="1" x14ac:dyDescent="0.25">
      <c r="A2" s="95" t="s">
        <v>78</v>
      </c>
      <c r="B2" s="96"/>
      <c r="C2" s="96"/>
      <c r="D2" s="96"/>
      <c r="E2" s="96"/>
      <c r="F2" s="96"/>
      <c r="G2" s="96"/>
      <c r="I2" t="s">
        <v>116</v>
      </c>
      <c r="L2" s="59" t="s">
        <v>117</v>
      </c>
      <c r="N2" s="59" t="s">
        <v>120</v>
      </c>
      <c r="O2" s="37" t="s">
        <v>141</v>
      </c>
      <c r="P2" s="37" t="s">
        <v>119</v>
      </c>
    </row>
    <row r="3" spans="1:16" x14ac:dyDescent="0.25">
      <c r="A3" s="96"/>
      <c r="B3" s="96"/>
      <c r="C3" s="96"/>
      <c r="D3" s="96"/>
      <c r="E3" s="96"/>
      <c r="F3" s="96"/>
      <c r="G3" s="96"/>
      <c r="I3" s="61">
        <f>'Aspek Keuangan'!U10</f>
        <v>17000</v>
      </c>
      <c r="K3" t="s">
        <v>121</v>
      </c>
      <c r="L3" s="20">
        <f>'Aspek Keuangan'!K27</f>
        <v>5000</v>
      </c>
      <c r="N3" s="37">
        <v>2021</v>
      </c>
      <c r="O3" s="35">
        <f>'Aspek Keuangan'!L5</f>
        <v>22000</v>
      </c>
      <c r="P3" s="35">
        <f>O3*30%</f>
        <v>6600</v>
      </c>
    </row>
    <row r="4" spans="1:16" x14ac:dyDescent="0.25">
      <c r="A4" s="96"/>
      <c r="B4" s="96"/>
      <c r="C4" s="96"/>
      <c r="D4" s="96"/>
      <c r="E4" s="96"/>
      <c r="F4" s="96"/>
      <c r="G4" s="96"/>
      <c r="I4" s="62"/>
      <c r="K4" t="s">
        <v>122</v>
      </c>
      <c r="L4" s="20">
        <f>'Aspek Keuangan'!K31</f>
        <v>500</v>
      </c>
      <c r="N4" s="37">
        <v>2022</v>
      </c>
      <c r="O4" s="35">
        <f>O3+P3</f>
        <v>28600</v>
      </c>
      <c r="P4" s="35">
        <f>O4*30%</f>
        <v>8580</v>
      </c>
    </row>
    <row r="5" spans="1:16" x14ac:dyDescent="0.25">
      <c r="A5" s="46" t="s">
        <v>79</v>
      </c>
      <c r="B5" s="46" t="s">
        <v>80</v>
      </c>
      <c r="C5" s="46" t="s">
        <v>81</v>
      </c>
      <c r="D5" s="46" t="s">
        <v>82</v>
      </c>
      <c r="E5" s="46" t="s">
        <v>83</v>
      </c>
      <c r="F5" s="46" t="s">
        <v>84</v>
      </c>
      <c r="G5" s="46" t="s">
        <v>85</v>
      </c>
      <c r="I5" s="62"/>
      <c r="N5" s="37">
        <v>2023</v>
      </c>
      <c r="O5" s="35">
        <f>O4+P4</f>
        <v>37180</v>
      </c>
      <c r="P5" s="35">
        <f>O5*30%</f>
        <v>11154</v>
      </c>
    </row>
    <row r="6" spans="1:16" x14ac:dyDescent="0.25">
      <c r="A6" s="47" t="s">
        <v>86</v>
      </c>
      <c r="B6" s="48">
        <f t="shared" ref="B6:B17" si="0">$O$3*$I$3</f>
        <v>374000000</v>
      </c>
      <c r="C6" s="48">
        <f>$I$16</f>
        <v>238441425</v>
      </c>
      <c r="D6" s="49">
        <f>B6-C6</f>
        <v>135558575</v>
      </c>
      <c r="E6" s="49">
        <f>$L$19/12</f>
        <v>17606432.291666668</v>
      </c>
      <c r="F6" s="50">
        <f>B6*10%</f>
        <v>37400000</v>
      </c>
      <c r="G6" s="49">
        <f>D6-E6-F6</f>
        <v>80552142.708333328</v>
      </c>
      <c r="N6" s="37">
        <v>2024</v>
      </c>
      <c r="O6" s="35">
        <f>O5+P5</f>
        <v>48334</v>
      </c>
      <c r="P6" s="37"/>
    </row>
    <row r="7" spans="1:16" x14ac:dyDescent="0.25">
      <c r="A7" s="47" t="s">
        <v>88</v>
      </c>
      <c r="B7" s="48">
        <f t="shared" si="0"/>
        <v>374000000</v>
      </c>
      <c r="C7" s="48">
        <f t="shared" ref="C7:C17" si="1">$I$16</f>
        <v>238441425</v>
      </c>
      <c r="D7" s="49">
        <f t="shared" ref="D7:D17" si="2">B7-C7</f>
        <v>135558575</v>
      </c>
      <c r="E7" s="49">
        <f t="shared" ref="E7:E17" si="3">$L$19/12</f>
        <v>17606432.291666668</v>
      </c>
      <c r="F7" s="50">
        <f t="shared" ref="F7:F17" si="4">B7*10%</f>
        <v>37400000</v>
      </c>
      <c r="G7" s="49">
        <f>D7-E7-F7</f>
        <v>80552142.708333328</v>
      </c>
      <c r="J7" s="65" t="s">
        <v>50</v>
      </c>
      <c r="K7" t="s">
        <v>87</v>
      </c>
    </row>
    <row r="8" spans="1:16" x14ac:dyDescent="0.25">
      <c r="A8" s="47" t="s">
        <v>89</v>
      </c>
      <c r="B8" s="48">
        <f t="shared" si="0"/>
        <v>374000000</v>
      </c>
      <c r="C8" s="48">
        <f t="shared" si="1"/>
        <v>238441425</v>
      </c>
      <c r="D8" s="49">
        <f t="shared" si="2"/>
        <v>135558575</v>
      </c>
      <c r="E8" s="49">
        <f t="shared" si="3"/>
        <v>17606432.291666668</v>
      </c>
      <c r="F8" s="50">
        <f t="shared" si="4"/>
        <v>37400000</v>
      </c>
      <c r="G8" s="49">
        <f t="shared" ref="G8:G17" si="5">D8-E8-F8</f>
        <v>80552142.708333328</v>
      </c>
      <c r="I8" t="s">
        <v>123</v>
      </c>
      <c r="J8" s="63">
        <f>'Aspek Keuangan'!N14</f>
        <v>12000000</v>
      </c>
      <c r="K8" s="64">
        <f>O3*$L$3+$L$4*O3</f>
        <v>121000000</v>
      </c>
    </row>
    <row r="9" spans="1:16" x14ac:dyDescent="0.25">
      <c r="A9" s="47" t="s">
        <v>90</v>
      </c>
      <c r="B9" s="48">
        <f t="shared" si="0"/>
        <v>374000000</v>
      </c>
      <c r="C9" s="48">
        <f t="shared" si="1"/>
        <v>238441425</v>
      </c>
      <c r="D9" s="49">
        <f t="shared" si="2"/>
        <v>135558575</v>
      </c>
      <c r="E9" s="49">
        <f t="shared" si="3"/>
        <v>17606432.291666668</v>
      </c>
      <c r="F9" s="50">
        <f t="shared" si="4"/>
        <v>37400000</v>
      </c>
      <c r="G9" s="49">
        <f t="shared" si="5"/>
        <v>80552142.708333328</v>
      </c>
      <c r="I9" t="s">
        <v>124</v>
      </c>
      <c r="J9" s="63">
        <f>'Aspek Keuangan'!K17</f>
        <v>100241424.99999999</v>
      </c>
      <c r="K9" s="64">
        <f>O4*$L$3+$L$4*O4</f>
        <v>157300000</v>
      </c>
    </row>
    <row r="10" spans="1:16" x14ac:dyDescent="0.25">
      <c r="A10" s="47" t="s">
        <v>91</v>
      </c>
      <c r="B10" s="48">
        <f t="shared" si="0"/>
        <v>374000000</v>
      </c>
      <c r="C10" s="48">
        <f t="shared" si="1"/>
        <v>238441425</v>
      </c>
      <c r="D10" s="49">
        <f t="shared" si="2"/>
        <v>135558575</v>
      </c>
      <c r="E10" s="49">
        <f t="shared" si="3"/>
        <v>17606432.291666668</v>
      </c>
      <c r="F10" s="50">
        <f t="shared" si="4"/>
        <v>37400000</v>
      </c>
      <c r="G10" s="49">
        <f t="shared" si="5"/>
        <v>80552142.708333328</v>
      </c>
      <c r="I10" t="s">
        <v>125</v>
      </c>
      <c r="J10" s="62">
        <f>'Aspek Keuangan'!N20</f>
        <v>700000</v>
      </c>
      <c r="K10" s="64">
        <f>O5*$L$3+$L$4*O5</f>
        <v>204490000</v>
      </c>
    </row>
    <row r="11" spans="1:16" x14ac:dyDescent="0.25">
      <c r="A11" s="47" t="s">
        <v>92</v>
      </c>
      <c r="B11" s="48">
        <f t="shared" si="0"/>
        <v>374000000</v>
      </c>
      <c r="C11" s="48">
        <f t="shared" si="1"/>
        <v>238441425</v>
      </c>
      <c r="D11" s="49">
        <f t="shared" si="2"/>
        <v>135558575</v>
      </c>
      <c r="E11" s="49">
        <f t="shared" si="3"/>
        <v>17606432.291666668</v>
      </c>
      <c r="F11" s="50">
        <f t="shared" si="4"/>
        <v>37400000</v>
      </c>
      <c r="G11" s="49">
        <f t="shared" si="5"/>
        <v>80552142.708333328</v>
      </c>
      <c r="I11" t="s">
        <v>126</v>
      </c>
      <c r="J11" s="62">
        <f>'Aspek Keuangan'!K20</f>
        <v>500000</v>
      </c>
      <c r="K11" s="64">
        <f>O6*$L$3+$L$4*O6</f>
        <v>265837000</v>
      </c>
    </row>
    <row r="12" spans="1:16" x14ac:dyDescent="0.25">
      <c r="A12" s="47" t="s">
        <v>93</v>
      </c>
      <c r="B12" s="48">
        <f t="shared" si="0"/>
        <v>374000000</v>
      </c>
      <c r="C12" s="48">
        <f t="shared" si="1"/>
        <v>238441425</v>
      </c>
      <c r="D12" s="49">
        <f t="shared" si="2"/>
        <v>135558575</v>
      </c>
      <c r="E12" s="49">
        <f t="shared" si="3"/>
        <v>17606432.291666668</v>
      </c>
      <c r="F12" s="50">
        <f t="shared" si="4"/>
        <v>37400000</v>
      </c>
      <c r="G12" s="49">
        <f t="shared" si="5"/>
        <v>80552142.708333328</v>
      </c>
      <c r="I12" t="s">
        <v>127</v>
      </c>
      <c r="J12" s="62">
        <f>'Aspek Keuangan'!R8</f>
        <v>4000000</v>
      </c>
      <c r="K12" s="51"/>
    </row>
    <row r="13" spans="1:16" x14ac:dyDescent="0.25">
      <c r="A13" s="47" t="s">
        <v>94</v>
      </c>
      <c r="B13" s="48">
        <f t="shared" si="0"/>
        <v>374000000</v>
      </c>
      <c r="C13" s="48">
        <f t="shared" si="1"/>
        <v>238441425</v>
      </c>
      <c r="D13" s="49">
        <f t="shared" si="2"/>
        <v>135558575</v>
      </c>
      <c r="E13" s="49">
        <f t="shared" si="3"/>
        <v>17606432.291666668</v>
      </c>
      <c r="F13" s="50">
        <f t="shared" si="4"/>
        <v>37400000</v>
      </c>
      <c r="G13" s="49">
        <f t="shared" si="5"/>
        <v>80552142.708333328</v>
      </c>
      <c r="J13" s="62"/>
    </row>
    <row r="14" spans="1:16" x14ac:dyDescent="0.25">
      <c r="A14" s="47" t="s">
        <v>95</v>
      </c>
      <c r="B14" s="48">
        <f t="shared" si="0"/>
        <v>374000000</v>
      </c>
      <c r="C14" s="48">
        <f t="shared" si="1"/>
        <v>238441425</v>
      </c>
      <c r="D14" s="49">
        <f t="shared" si="2"/>
        <v>135558575</v>
      </c>
      <c r="E14" s="49">
        <f t="shared" si="3"/>
        <v>17606432.291666668</v>
      </c>
      <c r="F14" s="50">
        <f t="shared" si="4"/>
        <v>37400000</v>
      </c>
      <c r="G14" s="49">
        <f t="shared" si="5"/>
        <v>80552142.708333328</v>
      </c>
    </row>
    <row r="15" spans="1:16" x14ac:dyDescent="0.25">
      <c r="A15" s="47" t="s">
        <v>96</v>
      </c>
      <c r="B15" s="48">
        <f t="shared" si="0"/>
        <v>374000000</v>
      </c>
      <c r="C15" s="48">
        <f t="shared" si="1"/>
        <v>238441425</v>
      </c>
      <c r="D15" s="49">
        <f t="shared" si="2"/>
        <v>135558575</v>
      </c>
      <c r="E15" s="49">
        <f t="shared" si="3"/>
        <v>17606432.291666668</v>
      </c>
      <c r="F15" s="50">
        <f t="shared" si="4"/>
        <v>37400000</v>
      </c>
      <c r="G15" s="49">
        <f t="shared" si="5"/>
        <v>80552142.708333328</v>
      </c>
      <c r="I15" s="59" t="s">
        <v>81</v>
      </c>
      <c r="K15" s="82" t="s">
        <v>128</v>
      </c>
      <c r="L15" s="82"/>
    </row>
    <row r="16" spans="1:16" x14ac:dyDescent="0.25">
      <c r="A16" s="47" t="s">
        <v>97</v>
      </c>
      <c r="B16" s="48">
        <f t="shared" si="0"/>
        <v>374000000</v>
      </c>
      <c r="C16" s="48">
        <f t="shared" si="1"/>
        <v>238441425</v>
      </c>
      <c r="D16" s="49">
        <f t="shared" si="2"/>
        <v>135558575</v>
      </c>
      <c r="E16" s="49">
        <f t="shared" si="3"/>
        <v>17606432.291666668</v>
      </c>
      <c r="F16" s="50">
        <f t="shared" si="4"/>
        <v>37400000</v>
      </c>
      <c r="G16" s="49">
        <f t="shared" si="5"/>
        <v>80552142.708333328</v>
      </c>
      <c r="I16" s="62">
        <f>$J$8+$J$9+$J$10+$J$11+$J$12+K8</f>
        <v>238441425</v>
      </c>
      <c r="K16" s="39" t="s">
        <v>129</v>
      </c>
      <c r="L16" s="52">
        <f>'Aspek Keuangan'!X9</f>
        <v>400000000</v>
      </c>
    </row>
    <row r="17" spans="1:12" x14ac:dyDescent="0.25">
      <c r="A17" s="47" t="s">
        <v>98</v>
      </c>
      <c r="B17" s="48">
        <f t="shared" si="0"/>
        <v>374000000</v>
      </c>
      <c r="C17" s="48">
        <f t="shared" si="1"/>
        <v>238441425</v>
      </c>
      <c r="D17" s="49">
        <f t="shared" si="2"/>
        <v>135558575</v>
      </c>
      <c r="E17" s="49">
        <f t="shared" si="3"/>
        <v>17606432.291666668</v>
      </c>
      <c r="F17" s="50">
        <f t="shared" si="4"/>
        <v>37400000</v>
      </c>
      <c r="G17" s="49">
        <f t="shared" si="5"/>
        <v>80552142.708333328</v>
      </c>
      <c r="I17" s="62">
        <f>$J$8+$J$9+$J$10+$J$11+$J$12+K9</f>
        <v>274741425</v>
      </c>
      <c r="K17" s="68" t="s">
        <v>130</v>
      </c>
      <c r="L17" s="63">
        <f>'Aspek Keuangan'!X6</f>
        <v>22554375</v>
      </c>
    </row>
    <row r="18" spans="1:12" x14ac:dyDescent="0.25">
      <c r="A18" s="46" t="s">
        <v>99</v>
      </c>
      <c r="B18" s="53"/>
      <c r="C18" s="53"/>
      <c r="D18" s="53"/>
      <c r="E18" s="53">
        <f>SUM(E6:E17)</f>
        <v>211277187.49999997</v>
      </c>
      <c r="F18" s="53"/>
      <c r="G18" s="53">
        <f>SUM(G6:G17)</f>
        <v>966625712.50000012</v>
      </c>
      <c r="I18" s="62">
        <f>$J$8+$J$9+$J$10+$J$11+$J$12+K10</f>
        <v>321931425</v>
      </c>
      <c r="K18" s="68" t="s">
        <v>132</v>
      </c>
      <c r="L18" s="62">
        <f>L16+L17</f>
        <v>422554375</v>
      </c>
    </row>
    <row r="19" spans="1:12" x14ac:dyDescent="0.25">
      <c r="I19" s="62">
        <f>$J$8+$J$9+$J$10+$J$11+$J$12+K11</f>
        <v>383278425</v>
      </c>
      <c r="K19" s="39" t="s">
        <v>133</v>
      </c>
      <c r="L19" s="62">
        <f>(L16+L17)/2</f>
        <v>211277187.5</v>
      </c>
    </row>
    <row r="20" spans="1:12" x14ac:dyDescent="0.25">
      <c r="K20" s="39" t="s">
        <v>131</v>
      </c>
      <c r="L20" s="62">
        <f>L19/12</f>
        <v>17606432.291666668</v>
      </c>
    </row>
    <row r="22" spans="1:12" x14ac:dyDescent="0.25">
      <c r="A22" s="97" t="s">
        <v>77</v>
      </c>
      <c r="B22" s="97"/>
      <c r="C22" s="97"/>
      <c r="D22" s="97"/>
      <c r="E22" s="97"/>
      <c r="F22" s="97"/>
      <c r="G22" s="97"/>
    </row>
    <row r="23" spans="1:12" x14ac:dyDescent="0.25">
      <c r="A23" s="95" t="s">
        <v>101</v>
      </c>
      <c r="B23" s="96"/>
      <c r="C23" s="96"/>
      <c r="D23" s="96"/>
      <c r="E23" s="96"/>
      <c r="F23" s="96"/>
      <c r="G23" s="96"/>
      <c r="I23" s="85" t="s">
        <v>100</v>
      </c>
      <c r="J23" s="86"/>
    </row>
    <row r="24" spans="1:12" x14ac:dyDescent="0.25">
      <c r="A24" s="96"/>
      <c r="B24" s="96"/>
      <c r="C24" s="96"/>
      <c r="D24" s="96"/>
      <c r="E24" s="96"/>
      <c r="F24" s="96"/>
      <c r="G24" s="96"/>
      <c r="I24" s="85" t="s">
        <v>137</v>
      </c>
      <c r="J24" s="86"/>
      <c r="K24">
        <v>73183882</v>
      </c>
      <c r="L24">
        <f>K24-K25-K26</f>
        <v>37202215</v>
      </c>
    </row>
    <row r="25" spans="1:12" x14ac:dyDescent="0.25">
      <c r="A25" s="96"/>
      <c r="B25" s="96"/>
      <c r="C25" s="96"/>
      <c r="D25" s="96"/>
      <c r="E25" s="96"/>
      <c r="F25" s="96"/>
      <c r="G25" s="96"/>
      <c r="I25" s="54" t="s">
        <v>4</v>
      </c>
      <c r="J25" s="54" t="s">
        <v>102</v>
      </c>
      <c r="K25">
        <v>29040000</v>
      </c>
    </row>
    <row r="26" spans="1:12" x14ac:dyDescent="0.25">
      <c r="A26" s="46" t="s">
        <v>104</v>
      </c>
      <c r="B26" s="46" t="s">
        <v>80</v>
      </c>
      <c r="C26" s="46" t="s">
        <v>81</v>
      </c>
      <c r="D26" s="46" t="s">
        <v>82</v>
      </c>
      <c r="E26" s="46" t="s">
        <v>83</v>
      </c>
      <c r="F26" s="46" t="s">
        <v>84</v>
      </c>
      <c r="G26" s="46" t="s">
        <v>85</v>
      </c>
      <c r="I26" s="7" t="s">
        <v>103</v>
      </c>
      <c r="J26" s="55">
        <f>'Aspek Keuangan'!G17</f>
        <v>1503625000</v>
      </c>
      <c r="K26">
        <v>6941667</v>
      </c>
    </row>
    <row r="27" spans="1:12" x14ac:dyDescent="0.25">
      <c r="A27" s="47" t="s">
        <v>86</v>
      </c>
      <c r="B27" s="48">
        <f>$O$4*$I$3</f>
        <v>486200000</v>
      </c>
      <c r="C27" s="48">
        <f>$I$17</f>
        <v>274741425</v>
      </c>
      <c r="D27" s="49">
        <f>B27-C27</f>
        <v>211458575</v>
      </c>
      <c r="E27" s="49">
        <f>$L$19/12</f>
        <v>17606432.291666668</v>
      </c>
      <c r="F27" s="50">
        <f>B27*10%</f>
        <v>48620000</v>
      </c>
      <c r="G27" s="49">
        <f>D27-E27-F27</f>
        <v>145232142.70833334</v>
      </c>
      <c r="I27" s="56" t="s">
        <v>105</v>
      </c>
      <c r="J27" s="55">
        <f>G18</f>
        <v>966625712.50000012</v>
      </c>
    </row>
    <row r="28" spans="1:12" x14ac:dyDescent="0.25">
      <c r="A28" s="47" t="s">
        <v>88</v>
      </c>
      <c r="B28" s="48">
        <f t="shared" ref="B28:B38" si="6">$O$4*$I$3</f>
        <v>486200000</v>
      </c>
      <c r="C28" s="48">
        <f t="shared" ref="C28:C38" si="7">$I$17</f>
        <v>274741425</v>
      </c>
      <c r="D28" s="49">
        <f t="shared" ref="D28:D38" si="8">B28-C28</f>
        <v>211458575</v>
      </c>
      <c r="E28" s="49">
        <f t="shared" ref="E28:E38" si="9">$L$19/12</f>
        <v>17606432.291666668</v>
      </c>
      <c r="F28" s="50">
        <f t="shared" ref="F28:F38" si="10">B28*10%</f>
        <v>48620000</v>
      </c>
      <c r="G28" s="49">
        <f t="shared" ref="G28:G38" si="11">D28-E28-F28</f>
        <v>145232142.70833334</v>
      </c>
      <c r="I28" s="56" t="s">
        <v>106</v>
      </c>
      <c r="J28" s="55">
        <f>G39</f>
        <v>1742785712.4999998</v>
      </c>
    </row>
    <row r="29" spans="1:12" x14ac:dyDescent="0.25">
      <c r="A29" s="47" t="s">
        <v>89</v>
      </c>
      <c r="B29" s="48">
        <f t="shared" si="6"/>
        <v>486200000</v>
      </c>
      <c r="C29" s="48">
        <f t="shared" si="7"/>
        <v>274741425</v>
      </c>
      <c r="D29" s="49">
        <f t="shared" si="8"/>
        <v>211458575</v>
      </c>
      <c r="E29" s="49">
        <f t="shared" si="9"/>
        <v>17606432.291666668</v>
      </c>
      <c r="F29" s="50">
        <f t="shared" si="10"/>
        <v>48620000</v>
      </c>
      <c r="G29" s="49">
        <f t="shared" si="11"/>
        <v>145232142.70833334</v>
      </c>
      <c r="I29" s="56" t="s">
        <v>107</v>
      </c>
      <c r="J29" s="55">
        <f>G60</f>
        <v>2963070900</v>
      </c>
    </row>
    <row r="30" spans="1:12" x14ac:dyDescent="0.25">
      <c r="A30" s="47" t="s">
        <v>90</v>
      </c>
      <c r="B30" s="48">
        <f t="shared" si="6"/>
        <v>486200000</v>
      </c>
      <c r="C30" s="48">
        <f t="shared" si="7"/>
        <v>274741425</v>
      </c>
      <c r="D30" s="49">
        <f t="shared" si="8"/>
        <v>211458575</v>
      </c>
      <c r="E30" s="49">
        <f t="shared" si="9"/>
        <v>17606432.291666668</v>
      </c>
      <c r="F30" s="50">
        <f t="shared" si="10"/>
        <v>48620000</v>
      </c>
      <c r="G30" s="49">
        <f t="shared" si="11"/>
        <v>145232142.70833334</v>
      </c>
      <c r="I30" s="56" t="s">
        <v>108</v>
      </c>
      <c r="J30" s="55">
        <f>G81</f>
        <v>4274781300</v>
      </c>
    </row>
    <row r="31" spans="1:12" x14ac:dyDescent="0.25">
      <c r="A31" s="47" t="s">
        <v>91</v>
      </c>
      <c r="B31" s="48">
        <f t="shared" si="6"/>
        <v>486200000</v>
      </c>
      <c r="C31" s="48">
        <f t="shared" si="7"/>
        <v>274741425</v>
      </c>
      <c r="D31" s="49">
        <f t="shared" si="8"/>
        <v>211458575</v>
      </c>
      <c r="E31" s="49">
        <f t="shared" si="9"/>
        <v>17606432.291666668</v>
      </c>
      <c r="F31" s="50">
        <f t="shared" si="10"/>
        <v>48620000</v>
      </c>
      <c r="G31" s="49">
        <f t="shared" si="11"/>
        <v>145232142.70833334</v>
      </c>
    </row>
    <row r="32" spans="1:12" x14ac:dyDescent="0.25">
      <c r="A32" s="47" t="s">
        <v>92</v>
      </c>
      <c r="B32" s="48">
        <f t="shared" si="6"/>
        <v>486200000</v>
      </c>
      <c r="C32" s="48">
        <f t="shared" si="7"/>
        <v>274741425</v>
      </c>
      <c r="D32" s="49">
        <f t="shared" si="8"/>
        <v>211458575</v>
      </c>
      <c r="E32" s="49">
        <f t="shared" si="9"/>
        <v>17606432.291666668</v>
      </c>
      <c r="F32" s="50">
        <f t="shared" si="10"/>
        <v>48620000</v>
      </c>
      <c r="G32" s="49">
        <f t="shared" si="11"/>
        <v>145232142.70833334</v>
      </c>
    </row>
    <row r="33" spans="1:7" x14ac:dyDescent="0.25">
      <c r="A33" s="47" t="s">
        <v>93</v>
      </c>
      <c r="B33" s="48">
        <f t="shared" si="6"/>
        <v>486200000</v>
      </c>
      <c r="C33" s="48">
        <f t="shared" si="7"/>
        <v>274741425</v>
      </c>
      <c r="D33" s="49">
        <f t="shared" si="8"/>
        <v>211458575</v>
      </c>
      <c r="E33" s="49">
        <f t="shared" si="9"/>
        <v>17606432.291666668</v>
      </c>
      <c r="F33" s="50">
        <f t="shared" si="10"/>
        <v>48620000</v>
      </c>
      <c r="G33" s="49">
        <f t="shared" si="11"/>
        <v>145232142.70833334</v>
      </c>
    </row>
    <row r="34" spans="1:7" x14ac:dyDescent="0.25">
      <c r="A34" s="47" t="s">
        <v>94</v>
      </c>
      <c r="B34" s="48">
        <f t="shared" si="6"/>
        <v>486200000</v>
      </c>
      <c r="C34" s="48">
        <f t="shared" si="7"/>
        <v>274741425</v>
      </c>
      <c r="D34" s="49">
        <f t="shared" si="8"/>
        <v>211458575</v>
      </c>
      <c r="E34" s="49">
        <f t="shared" si="9"/>
        <v>17606432.291666668</v>
      </c>
      <c r="F34" s="50">
        <f t="shared" si="10"/>
        <v>48620000</v>
      </c>
      <c r="G34" s="49">
        <f t="shared" si="11"/>
        <v>145232142.70833334</v>
      </c>
    </row>
    <row r="35" spans="1:7" x14ac:dyDescent="0.25">
      <c r="A35" s="47" t="s">
        <v>95</v>
      </c>
      <c r="B35" s="48">
        <f t="shared" si="6"/>
        <v>486200000</v>
      </c>
      <c r="C35" s="48">
        <f t="shared" si="7"/>
        <v>274741425</v>
      </c>
      <c r="D35" s="49">
        <f t="shared" si="8"/>
        <v>211458575</v>
      </c>
      <c r="E35" s="49">
        <f t="shared" si="9"/>
        <v>17606432.291666668</v>
      </c>
      <c r="F35" s="50">
        <f t="shared" si="10"/>
        <v>48620000</v>
      </c>
      <c r="G35" s="49">
        <f t="shared" si="11"/>
        <v>145232142.70833334</v>
      </c>
    </row>
    <row r="36" spans="1:7" x14ac:dyDescent="0.25">
      <c r="A36" s="47" t="s">
        <v>96</v>
      </c>
      <c r="B36" s="48">
        <f t="shared" si="6"/>
        <v>486200000</v>
      </c>
      <c r="C36" s="48">
        <f t="shared" si="7"/>
        <v>274741425</v>
      </c>
      <c r="D36" s="49">
        <f t="shared" si="8"/>
        <v>211458575</v>
      </c>
      <c r="E36" s="49">
        <f t="shared" si="9"/>
        <v>17606432.291666668</v>
      </c>
      <c r="F36" s="50">
        <f t="shared" si="10"/>
        <v>48620000</v>
      </c>
      <c r="G36" s="49">
        <f t="shared" si="11"/>
        <v>145232142.70833334</v>
      </c>
    </row>
    <row r="37" spans="1:7" x14ac:dyDescent="0.25">
      <c r="A37" s="47" t="s">
        <v>97</v>
      </c>
      <c r="B37" s="48">
        <f t="shared" si="6"/>
        <v>486200000</v>
      </c>
      <c r="C37" s="48">
        <f t="shared" si="7"/>
        <v>274741425</v>
      </c>
      <c r="D37" s="49">
        <f t="shared" si="8"/>
        <v>211458575</v>
      </c>
      <c r="E37" s="49">
        <f t="shared" si="9"/>
        <v>17606432.291666668</v>
      </c>
      <c r="F37" s="50">
        <f t="shared" si="10"/>
        <v>48620000</v>
      </c>
      <c r="G37" s="49">
        <f t="shared" si="11"/>
        <v>145232142.70833334</v>
      </c>
    </row>
    <row r="38" spans="1:7" x14ac:dyDescent="0.25">
      <c r="A38" s="47" t="s">
        <v>98</v>
      </c>
      <c r="B38" s="48">
        <f t="shared" si="6"/>
        <v>486200000</v>
      </c>
      <c r="C38" s="48">
        <f t="shared" si="7"/>
        <v>274741425</v>
      </c>
      <c r="D38" s="49">
        <f t="shared" si="8"/>
        <v>211458575</v>
      </c>
      <c r="E38" s="49">
        <f t="shared" si="9"/>
        <v>17606432.291666668</v>
      </c>
      <c r="F38" s="50">
        <f t="shared" si="10"/>
        <v>48620000</v>
      </c>
      <c r="G38" s="49">
        <f t="shared" si="11"/>
        <v>145232142.70833334</v>
      </c>
    </row>
    <row r="39" spans="1:7" x14ac:dyDescent="0.25">
      <c r="A39" s="46" t="s">
        <v>99</v>
      </c>
      <c r="B39" s="57"/>
      <c r="C39" s="57"/>
      <c r="D39" s="57"/>
      <c r="E39" s="66">
        <f>SUM(E27:E38)</f>
        <v>211277187.49999997</v>
      </c>
      <c r="F39" s="57"/>
      <c r="G39" s="53">
        <f>SUM(G27:G38)</f>
        <v>1742785712.4999998</v>
      </c>
    </row>
    <row r="43" spans="1:7" x14ac:dyDescent="0.25">
      <c r="A43" s="97" t="s">
        <v>77</v>
      </c>
      <c r="B43" s="97"/>
      <c r="C43" s="97"/>
      <c r="D43" s="97"/>
      <c r="E43" s="97"/>
      <c r="F43" s="97"/>
      <c r="G43" s="97"/>
    </row>
    <row r="44" spans="1:7" x14ac:dyDescent="0.25">
      <c r="A44" s="95" t="s">
        <v>109</v>
      </c>
      <c r="B44" s="96"/>
      <c r="C44" s="96"/>
      <c r="D44" s="96"/>
      <c r="E44" s="96"/>
      <c r="F44" s="96"/>
      <c r="G44" s="96"/>
    </row>
    <row r="45" spans="1:7" x14ac:dyDescent="0.25">
      <c r="A45" s="96"/>
      <c r="B45" s="96"/>
      <c r="C45" s="96"/>
      <c r="D45" s="96"/>
      <c r="E45" s="96"/>
      <c r="F45" s="96"/>
      <c r="G45" s="96"/>
    </row>
    <row r="46" spans="1:7" x14ac:dyDescent="0.25">
      <c r="A46" s="96"/>
      <c r="B46" s="96"/>
      <c r="C46" s="96"/>
      <c r="D46" s="96"/>
      <c r="E46" s="96"/>
      <c r="F46" s="96"/>
      <c r="G46" s="96"/>
    </row>
    <row r="47" spans="1:7" x14ac:dyDescent="0.25">
      <c r="A47" s="46" t="s">
        <v>110</v>
      </c>
      <c r="B47" s="46" t="s">
        <v>80</v>
      </c>
      <c r="C47" s="46" t="s">
        <v>81</v>
      </c>
      <c r="D47" s="46" t="s">
        <v>82</v>
      </c>
      <c r="E47" s="46" t="s">
        <v>83</v>
      </c>
      <c r="F47" s="46" t="s">
        <v>84</v>
      </c>
      <c r="G47" s="46" t="s">
        <v>85</v>
      </c>
    </row>
    <row r="48" spans="1:7" x14ac:dyDescent="0.25">
      <c r="A48" s="47" t="s">
        <v>86</v>
      </c>
      <c r="B48" s="48">
        <f>$O$5*$I$3</f>
        <v>632060000</v>
      </c>
      <c r="C48" s="48">
        <f t="shared" ref="C48:C59" si="12">$I$18</f>
        <v>321931425</v>
      </c>
      <c r="D48" s="49">
        <f>B48-C48</f>
        <v>310128575</v>
      </c>
      <c r="E48" s="49"/>
      <c r="F48" s="50">
        <f>B48*10%</f>
        <v>63206000</v>
      </c>
      <c r="G48" s="49">
        <f>D48-E48-F48</f>
        <v>246922575</v>
      </c>
    </row>
    <row r="49" spans="1:7" x14ac:dyDescent="0.25">
      <c r="A49" s="47" t="s">
        <v>88</v>
      </c>
      <c r="B49" s="48">
        <f t="shared" ref="B49:B59" si="13">$O$5*$I$3</f>
        <v>632060000</v>
      </c>
      <c r="C49" s="48">
        <f t="shared" si="12"/>
        <v>321931425</v>
      </c>
      <c r="D49" s="49">
        <f t="shared" ref="D49:D59" si="14">B49-C49</f>
        <v>310128575</v>
      </c>
      <c r="E49" s="49"/>
      <c r="F49" s="50">
        <f t="shared" ref="F49:F59" si="15">B49*10%</f>
        <v>63206000</v>
      </c>
      <c r="G49" s="49">
        <f t="shared" ref="G49:G59" si="16">D49-E49-F49</f>
        <v>246922575</v>
      </c>
    </row>
    <row r="50" spans="1:7" x14ac:dyDescent="0.25">
      <c r="A50" s="47" t="s">
        <v>89</v>
      </c>
      <c r="B50" s="48">
        <f t="shared" si="13"/>
        <v>632060000</v>
      </c>
      <c r="C50" s="48">
        <f t="shared" si="12"/>
        <v>321931425</v>
      </c>
      <c r="D50" s="49">
        <f t="shared" si="14"/>
        <v>310128575</v>
      </c>
      <c r="E50" s="49"/>
      <c r="F50" s="50">
        <f t="shared" si="15"/>
        <v>63206000</v>
      </c>
      <c r="G50" s="49">
        <f t="shared" si="16"/>
        <v>246922575</v>
      </c>
    </row>
    <row r="51" spans="1:7" x14ac:dyDescent="0.25">
      <c r="A51" s="47" t="s">
        <v>90</v>
      </c>
      <c r="B51" s="48">
        <f t="shared" si="13"/>
        <v>632060000</v>
      </c>
      <c r="C51" s="48">
        <f t="shared" si="12"/>
        <v>321931425</v>
      </c>
      <c r="D51" s="49">
        <f t="shared" si="14"/>
        <v>310128575</v>
      </c>
      <c r="E51" s="49"/>
      <c r="F51" s="50">
        <f t="shared" si="15"/>
        <v>63206000</v>
      </c>
      <c r="G51" s="49">
        <f t="shared" si="16"/>
        <v>246922575</v>
      </c>
    </row>
    <row r="52" spans="1:7" x14ac:dyDescent="0.25">
      <c r="A52" s="47" t="s">
        <v>91</v>
      </c>
      <c r="B52" s="48">
        <f t="shared" si="13"/>
        <v>632060000</v>
      </c>
      <c r="C52" s="48">
        <f t="shared" si="12"/>
        <v>321931425</v>
      </c>
      <c r="D52" s="49">
        <f t="shared" si="14"/>
        <v>310128575</v>
      </c>
      <c r="E52" s="49"/>
      <c r="F52" s="50">
        <f t="shared" si="15"/>
        <v>63206000</v>
      </c>
      <c r="G52" s="49">
        <f t="shared" si="16"/>
        <v>246922575</v>
      </c>
    </row>
    <row r="53" spans="1:7" x14ac:dyDescent="0.25">
      <c r="A53" s="47" t="s">
        <v>92</v>
      </c>
      <c r="B53" s="48">
        <f t="shared" si="13"/>
        <v>632060000</v>
      </c>
      <c r="C53" s="48">
        <f t="shared" si="12"/>
        <v>321931425</v>
      </c>
      <c r="D53" s="49">
        <f t="shared" si="14"/>
        <v>310128575</v>
      </c>
      <c r="E53" s="49"/>
      <c r="F53" s="50">
        <f t="shared" si="15"/>
        <v>63206000</v>
      </c>
      <c r="G53" s="49">
        <f t="shared" si="16"/>
        <v>246922575</v>
      </c>
    </row>
    <row r="54" spans="1:7" x14ac:dyDescent="0.25">
      <c r="A54" s="47" t="s">
        <v>93</v>
      </c>
      <c r="B54" s="48">
        <f t="shared" si="13"/>
        <v>632060000</v>
      </c>
      <c r="C54" s="48">
        <f t="shared" si="12"/>
        <v>321931425</v>
      </c>
      <c r="D54" s="49">
        <f t="shared" si="14"/>
        <v>310128575</v>
      </c>
      <c r="E54" s="49"/>
      <c r="F54" s="50">
        <f t="shared" si="15"/>
        <v>63206000</v>
      </c>
      <c r="G54" s="49">
        <f t="shared" si="16"/>
        <v>246922575</v>
      </c>
    </row>
    <row r="55" spans="1:7" x14ac:dyDescent="0.25">
      <c r="A55" s="47" t="s">
        <v>94</v>
      </c>
      <c r="B55" s="48">
        <f t="shared" si="13"/>
        <v>632060000</v>
      </c>
      <c r="C55" s="48">
        <f t="shared" si="12"/>
        <v>321931425</v>
      </c>
      <c r="D55" s="49">
        <f t="shared" si="14"/>
        <v>310128575</v>
      </c>
      <c r="E55" s="49"/>
      <c r="F55" s="50">
        <f t="shared" si="15"/>
        <v>63206000</v>
      </c>
      <c r="G55" s="49">
        <f t="shared" si="16"/>
        <v>246922575</v>
      </c>
    </row>
    <row r="56" spans="1:7" x14ac:dyDescent="0.25">
      <c r="A56" s="47" t="s">
        <v>95</v>
      </c>
      <c r="B56" s="48">
        <f t="shared" si="13"/>
        <v>632060000</v>
      </c>
      <c r="C56" s="48">
        <f t="shared" si="12"/>
        <v>321931425</v>
      </c>
      <c r="D56" s="49">
        <f t="shared" si="14"/>
        <v>310128575</v>
      </c>
      <c r="E56" s="49"/>
      <c r="F56" s="50">
        <f t="shared" si="15"/>
        <v>63206000</v>
      </c>
      <c r="G56" s="49">
        <f t="shared" si="16"/>
        <v>246922575</v>
      </c>
    </row>
    <row r="57" spans="1:7" x14ac:dyDescent="0.25">
      <c r="A57" s="47" t="s">
        <v>96</v>
      </c>
      <c r="B57" s="48">
        <f t="shared" si="13"/>
        <v>632060000</v>
      </c>
      <c r="C57" s="48">
        <f t="shared" si="12"/>
        <v>321931425</v>
      </c>
      <c r="D57" s="49">
        <f t="shared" si="14"/>
        <v>310128575</v>
      </c>
      <c r="E57" s="49"/>
      <c r="F57" s="50">
        <f t="shared" si="15"/>
        <v>63206000</v>
      </c>
      <c r="G57" s="49">
        <f t="shared" si="16"/>
        <v>246922575</v>
      </c>
    </row>
    <row r="58" spans="1:7" x14ac:dyDescent="0.25">
      <c r="A58" s="47" t="s">
        <v>97</v>
      </c>
      <c r="B58" s="48">
        <f t="shared" si="13"/>
        <v>632060000</v>
      </c>
      <c r="C58" s="48">
        <f t="shared" si="12"/>
        <v>321931425</v>
      </c>
      <c r="D58" s="49">
        <f t="shared" si="14"/>
        <v>310128575</v>
      </c>
      <c r="E58" s="49"/>
      <c r="F58" s="50">
        <f t="shared" si="15"/>
        <v>63206000</v>
      </c>
      <c r="G58" s="49">
        <f t="shared" si="16"/>
        <v>246922575</v>
      </c>
    </row>
    <row r="59" spans="1:7" x14ac:dyDescent="0.25">
      <c r="A59" s="47" t="s">
        <v>98</v>
      </c>
      <c r="B59" s="48">
        <f t="shared" si="13"/>
        <v>632060000</v>
      </c>
      <c r="C59" s="48">
        <f t="shared" si="12"/>
        <v>321931425</v>
      </c>
      <c r="D59" s="49">
        <f t="shared" si="14"/>
        <v>310128575</v>
      </c>
      <c r="E59" s="49"/>
      <c r="F59" s="50">
        <f t="shared" si="15"/>
        <v>63206000</v>
      </c>
      <c r="G59" s="49">
        <f t="shared" si="16"/>
        <v>246922575</v>
      </c>
    </row>
    <row r="60" spans="1:7" x14ac:dyDescent="0.25">
      <c r="A60" s="46" t="s">
        <v>99</v>
      </c>
      <c r="B60" s="57"/>
      <c r="C60" s="57"/>
      <c r="D60" s="57"/>
      <c r="E60" s="58">
        <f>SUM(E48:E59)</f>
        <v>0</v>
      </c>
      <c r="F60" s="57"/>
      <c r="G60" s="53">
        <f>SUM(G48:G59)</f>
        <v>2963070900</v>
      </c>
    </row>
    <row r="64" spans="1:7" x14ac:dyDescent="0.25">
      <c r="A64" s="97" t="s">
        <v>77</v>
      </c>
      <c r="B64" s="97"/>
      <c r="C64" s="97"/>
      <c r="D64" s="97"/>
      <c r="E64" s="97"/>
      <c r="F64" s="97"/>
      <c r="G64" s="97"/>
    </row>
    <row r="65" spans="1:7" x14ac:dyDescent="0.25">
      <c r="A65" s="95" t="s">
        <v>111</v>
      </c>
      <c r="B65" s="96"/>
      <c r="C65" s="96"/>
      <c r="D65" s="96"/>
      <c r="E65" s="96"/>
      <c r="F65" s="96"/>
      <c r="G65" s="96"/>
    </row>
    <row r="66" spans="1:7" x14ac:dyDescent="0.25">
      <c r="A66" s="96"/>
      <c r="B66" s="96"/>
      <c r="C66" s="96"/>
      <c r="D66" s="96"/>
      <c r="E66" s="96"/>
      <c r="F66" s="96"/>
      <c r="G66" s="96"/>
    </row>
    <row r="67" spans="1:7" x14ac:dyDescent="0.25">
      <c r="A67" s="96"/>
      <c r="B67" s="96"/>
      <c r="C67" s="96"/>
      <c r="D67" s="96"/>
      <c r="E67" s="96"/>
      <c r="F67" s="96"/>
      <c r="G67" s="96"/>
    </row>
    <row r="68" spans="1:7" x14ac:dyDescent="0.25">
      <c r="A68" s="46" t="s">
        <v>112</v>
      </c>
      <c r="B68" s="46" t="s">
        <v>80</v>
      </c>
      <c r="C68" s="46" t="s">
        <v>81</v>
      </c>
      <c r="D68" s="46" t="s">
        <v>82</v>
      </c>
      <c r="E68" s="46" t="s">
        <v>83</v>
      </c>
      <c r="F68" s="46" t="s">
        <v>84</v>
      </c>
      <c r="G68" s="46" t="s">
        <v>85</v>
      </c>
    </row>
    <row r="69" spans="1:7" x14ac:dyDescent="0.25">
      <c r="A69" s="47" t="s">
        <v>86</v>
      </c>
      <c r="B69" s="48">
        <f t="shared" ref="B69:B80" si="17">$O$6*$I$3</f>
        <v>821678000</v>
      </c>
      <c r="C69" s="48">
        <f t="shared" ref="C69:C80" si="18">$I$19</f>
        <v>383278425</v>
      </c>
      <c r="D69" s="49">
        <f>B69-C69</f>
        <v>438399575</v>
      </c>
      <c r="E69" s="49"/>
      <c r="F69" s="50">
        <f>B69*10%</f>
        <v>82167800</v>
      </c>
      <c r="G69" s="49">
        <f>D69-E69-F69</f>
        <v>356231775</v>
      </c>
    </row>
    <row r="70" spans="1:7" x14ac:dyDescent="0.25">
      <c r="A70" s="47" t="s">
        <v>88</v>
      </c>
      <c r="B70" s="48">
        <f t="shared" si="17"/>
        <v>821678000</v>
      </c>
      <c r="C70" s="48">
        <f t="shared" si="18"/>
        <v>383278425</v>
      </c>
      <c r="D70" s="49">
        <f t="shared" ref="D70:D80" si="19">B70-C70</f>
        <v>438399575</v>
      </c>
      <c r="E70" s="49"/>
      <c r="F70" s="50">
        <f t="shared" ref="F70:F80" si="20">B70*10%</f>
        <v>82167800</v>
      </c>
      <c r="G70" s="49">
        <f t="shared" ref="G70:G80" si="21">D70-E70-F70</f>
        <v>356231775</v>
      </c>
    </row>
    <row r="71" spans="1:7" x14ac:dyDescent="0.25">
      <c r="A71" s="47" t="s">
        <v>89</v>
      </c>
      <c r="B71" s="48">
        <f t="shared" si="17"/>
        <v>821678000</v>
      </c>
      <c r="C71" s="48">
        <f t="shared" si="18"/>
        <v>383278425</v>
      </c>
      <c r="D71" s="49">
        <f t="shared" si="19"/>
        <v>438399575</v>
      </c>
      <c r="E71" s="49"/>
      <c r="F71" s="50">
        <f t="shared" si="20"/>
        <v>82167800</v>
      </c>
      <c r="G71" s="49">
        <f t="shared" si="21"/>
        <v>356231775</v>
      </c>
    </row>
    <row r="72" spans="1:7" x14ac:dyDescent="0.25">
      <c r="A72" s="47" t="s">
        <v>90</v>
      </c>
      <c r="B72" s="48">
        <f t="shared" si="17"/>
        <v>821678000</v>
      </c>
      <c r="C72" s="48">
        <f t="shared" si="18"/>
        <v>383278425</v>
      </c>
      <c r="D72" s="49">
        <f t="shared" si="19"/>
        <v>438399575</v>
      </c>
      <c r="E72" s="49"/>
      <c r="F72" s="50">
        <f t="shared" si="20"/>
        <v>82167800</v>
      </c>
      <c r="G72" s="49">
        <f t="shared" si="21"/>
        <v>356231775</v>
      </c>
    </row>
    <row r="73" spans="1:7" x14ac:dyDescent="0.25">
      <c r="A73" s="47" t="s">
        <v>91</v>
      </c>
      <c r="B73" s="48">
        <f t="shared" si="17"/>
        <v>821678000</v>
      </c>
      <c r="C73" s="48">
        <f t="shared" si="18"/>
        <v>383278425</v>
      </c>
      <c r="D73" s="49">
        <f t="shared" si="19"/>
        <v>438399575</v>
      </c>
      <c r="E73" s="49"/>
      <c r="F73" s="50">
        <f t="shared" si="20"/>
        <v>82167800</v>
      </c>
      <c r="G73" s="49">
        <f t="shared" si="21"/>
        <v>356231775</v>
      </c>
    </row>
    <row r="74" spans="1:7" x14ac:dyDescent="0.25">
      <c r="A74" s="47" t="s">
        <v>92</v>
      </c>
      <c r="B74" s="48">
        <f t="shared" si="17"/>
        <v>821678000</v>
      </c>
      <c r="C74" s="48">
        <f t="shared" si="18"/>
        <v>383278425</v>
      </c>
      <c r="D74" s="49">
        <f t="shared" si="19"/>
        <v>438399575</v>
      </c>
      <c r="E74" s="49"/>
      <c r="F74" s="50">
        <f t="shared" si="20"/>
        <v>82167800</v>
      </c>
      <c r="G74" s="49">
        <f t="shared" si="21"/>
        <v>356231775</v>
      </c>
    </row>
    <row r="75" spans="1:7" x14ac:dyDescent="0.25">
      <c r="A75" s="47" t="s">
        <v>93</v>
      </c>
      <c r="B75" s="48">
        <f t="shared" si="17"/>
        <v>821678000</v>
      </c>
      <c r="C75" s="48">
        <f t="shared" si="18"/>
        <v>383278425</v>
      </c>
      <c r="D75" s="49">
        <f t="shared" si="19"/>
        <v>438399575</v>
      </c>
      <c r="E75" s="49"/>
      <c r="F75" s="50">
        <f t="shared" si="20"/>
        <v>82167800</v>
      </c>
      <c r="G75" s="49">
        <f t="shared" si="21"/>
        <v>356231775</v>
      </c>
    </row>
    <row r="76" spans="1:7" x14ac:dyDescent="0.25">
      <c r="A76" s="47" t="s">
        <v>94</v>
      </c>
      <c r="B76" s="48">
        <f t="shared" si="17"/>
        <v>821678000</v>
      </c>
      <c r="C76" s="48">
        <f t="shared" si="18"/>
        <v>383278425</v>
      </c>
      <c r="D76" s="49">
        <f t="shared" si="19"/>
        <v>438399575</v>
      </c>
      <c r="E76" s="49"/>
      <c r="F76" s="50">
        <f t="shared" si="20"/>
        <v>82167800</v>
      </c>
      <c r="G76" s="49">
        <f t="shared" si="21"/>
        <v>356231775</v>
      </c>
    </row>
    <row r="77" spans="1:7" x14ac:dyDescent="0.25">
      <c r="A77" s="47" t="s">
        <v>95</v>
      </c>
      <c r="B77" s="48">
        <f t="shared" si="17"/>
        <v>821678000</v>
      </c>
      <c r="C77" s="48">
        <f t="shared" si="18"/>
        <v>383278425</v>
      </c>
      <c r="D77" s="49">
        <f t="shared" si="19"/>
        <v>438399575</v>
      </c>
      <c r="E77" s="49"/>
      <c r="F77" s="50">
        <f t="shared" si="20"/>
        <v>82167800</v>
      </c>
      <c r="G77" s="49">
        <f t="shared" si="21"/>
        <v>356231775</v>
      </c>
    </row>
    <row r="78" spans="1:7" x14ac:dyDescent="0.25">
      <c r="A78" s="47" t="s">
        <v>96</v>
      </c>
      <c r="B78" s="48">
        <f t="shared" si="17"/>
        <v>821678000</v>
      </c>
      <c r="C78" s="48">
        <f t="shared" si="18"/>
        <v>383278425</v>
      </c>
      <c r="D78" s="49">
        <f t="shared" si="19"/>
        <v>438399575</v>
      </c>
      <c r="E78" s="49"/>
      <c r="F78" s="50">
        <f t="shared" si="20"/>
        <v>82167800</v>
      </c>
      <c r="G78" s="49">
        <f t="shared" si="21"/>
        <v>356231775</v>
      </c>
    </row>
    <row r="79" spans="1:7" x14ac:dyDescent="0.25">
      <c r="A79" s="47" t="s">
        <v>97</v>
      </c>
      <c r="B79" s="48">
        <f t="shared" si="17"/>
        <v>821678000</v>
      </c>
      <c r="C79" s="48">
        <f t="shared" si="18"/>
        <v>383278425</v>
      </c>
      <c r="D79" s="49">
        <f t="shared" si="19"/>
        <v>438399575</v>
      </c>
      <c r="E79" s="49"/>
      <c r="F79" s="50">
        <f t="shared" si="20"/>
        <v>82167800</v>
      </c>
      <c r="G79" s="49">
        <f t="shared" si="21"/>
        <v>356231775</v>
      </c>
    </row>
    <row r="80" spans="1:7" x14ac:dyDescent="0.25">
      <c r="A80" s="47" t="s">
        <v>98</v>
      </c>
      <c r="B80" s="48">
        <f t="shared" si="17"/>
        <v>821678000</v>
      </c>
      <c r="C80" s="48">
        <f t="shared" si="18"/>
        <v>383278425</v>
      </c>
      <c r="D80" s="49">
        <f t="shared" si="19"/>
        <v>438399575</v>
      </c>
      <c r="E80" s="49"/>
      <c r="F80" s="50">
        <f t="shared" si="20"/>
        <v>82167800</v>
      </c>
      <c r="G80" s="49">
        <f t="shared" si="21"/>
        <v>356231775</v>
      </c>
    </row>
    <row r="81" spans="1:7" x14ac:dyDescent="0.25">
      <c r="A81" s="46" t="s">
        <v>99</v>
      </c>
      <c r="B81" s="57"/>
      <c r="C81" s="57"/>
      <c r="D81" s="57"/>
      <c r="E81" s="58">
        <f>SUM(E69:E80)</f>
        <v>0</v>
      </c>
      <c r="F81" s="57"/>
      <c r="G81" s="53">
        <f>SUM(G69:G80)</f>
        <v>4274781300</v>
      </c>
    </row>
  </sheetData>
  <mergeCells count="11">
    <mergeCell ref="A44:G46"/>
    <mergeCell ref="A64:G64"/>
    <mergeCell ref="A65:G67"/>
    <mergeCell ref="A1:G1"/>
    <mergeCell ref="A2:G4"/>
    <mergeCell ref="A22:G22"/>
    <mergeCell ref="K15:L15"/>
    <mergeCell ref="I24:J24"/>
    <mergeCell ref="A23:G25"/>
    <mergeCell ref="I23:J23"/>
    <mergeCell ref="A43:G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D335-E66D-428A-9D09-8BC39EDED243}">
  <dimension ref="F2:L17"/>
  <sheetViews>
    <sheetView zoomScaleNormal="100" workbookViewId="0">
      <selection activeCell="F22" sqref="F22"/>
    </sheetView>
  </sheetViews>
  <sheetFormatPr defaultRowHeight="15" x14ac:dyDescent="0.25"/>
  <cols>
    <col min="1" max="1" width="21.42578125" style="67" customWidth="1"/>
    <col min="2" max="2" width="17.140625" style="67" customWidth="1"/>
    <col min="3" max="3" width="22.42578125" style="67" customWidth="1"/>
    <col min="4" max="4" width="17.85546875" style="67" customWidth="1"/>
    <col min="5" max="5" width="9.140625" style="67"/>
    <col min="6" max="6" width="20" style="67" customWidth="1"/>
    <col min="7" max="7" width="19" style="67" customWidth="1"/>
    <col min="8" max="8" width="9.140625" style="67"/>
    <col min="9" max="9" width="27" style="67" customWidth="1"/>
    <col min="10" max="10" width="16.7109375" style="67" customWidth="1"/>
    <col min="11" max="11" width="12" style="67" customWidth="1"/>
    <col min="12" max="12" width="11.5703125" style="67" customWidth="1"/>
    <col min="13" max="16384" width="9.140625" style="67"/>
  </cols>
  <sheetData>
    <row r="2" spans="6:12" x14ac:dyDescent="0.25">
      <c r="F2" s="69" t="s">
        <v>134</v>
      </c>
      <c r="G2" s="69" t="s">
        <v>134</v>
      </c>
      <c r="I2" s="54" t="s">
        <v>143</v>
      </c>
      <c r="J2" s="54" t="s">
        <v>144</v>
      </c>
      <c r="K2" s="54" t="s">
        <v>145</v>
      </c>
      <c r="L2" s="54" t="s">
        <v>146</v>
      </c>
    </row>
    <row r="3" spans="6:12" x14ac:dyDescent="0.25">
      <c r="F3" s="70">
        <v>7.4999999999999997E-2</v>
      </c>
      <c r="G3" s="70">
        <v>0.49</v>
      </c>
      <c r="I3" s="80" t="s">
        <v>153</v>
      </c>
      <c r="J3" s="77">
        <v>22</v>
      </c>
      <c r="K3" s="54">
        <v>7.1180000000000003</v>
      </c>
      <c r="L3" s="54" t="s">
        <v>148</v>
      </c>
    </row>
    <row r="4" spans="6:12" x14ac:dyDescent="0.25">
      <c r="F4" s="71">
        <f>-'Laporan Laba Rugi'!$J$26+('Laporan Laba Rugi'!$J$26*'Aspek Keuangan'!$X$7)+('Laporan Laba Rugi'!$J$26/(1+F3))</f>
        <v>385888805.23255825</v>
      </c>
      <c r="G4" s="74">
        <f>-'Laporan Laba Rugi'!$J$26+('Laporan Laba Rugi'!$J$26*'Aspek Keuangan'!$X$7)+('Laporan Laba Rugi'!$J$26/(1+G3))</f>
        <v>-3687829.6979866028</v>
      </c>
      <c r="I4" s="80" t="s">
        <v>154</v>
      </c>
      <c r="J4" s="78">
        <f>F4</f>
        <v>385888805.23255825</v>
      </c>
      <c r="K4" s="54" t="s">
        <v>150</v>
      </c>
      <c r="L4" s="54" t="s">
        <v>148</v>
      </c>
    </row>
    <row r="5" spans="6:12" x14ac:dyDescent="0.25">
      <c r="F5" s="72"/>
      <c r="G5" s="72"/>
      <c r="I5" s="80" t="s">
        <v>155</v>
      </c>
      <c r="J5" s="79">
        <f>F8</f>
        <v>0.48607150638041396</v>
      </c>
      <c r="K5" s="54" t="s">
        <v>149</v>
      </c>
      <c r="L5" s="54" t="s">
        <v>148</v>
      </c>
    </row>
    <row r="6" spans="6:12" x14ac:dyDescent="0.25">
      <c r="F6" s="72"/>
      <c r="G6" s="72"/>
      <c r="I6" s="81" t="s">
        <v>152</v>
      </c>
      <c r="J6" s="77">
        <v>1.56</v>
      </c>
      <c r="K6" s="77">
        <v>1</v>
      </c>
      <c r="L6" s="54" t="s">
        <v>148</v>
      </c>
    </row>
    <row r="7" spans="6:12" x14ac:dyDescent="0.25">
      <c r="F7" s="72" t="s">
        <v>135</v>
      </c>
      <c r="G7" s="72" t="s">
        <v>136</v>
      </c>
      <c r="I7" s="80" t="s">
        <v>156</v>
      </c>
      <c r="J7" s="54" t="s">
        <v>151</v>
      </c>
      <c r="K7" s="54" t="s">
        <v>147</v>
      </c>
      <c r="L7" s="54" t="s">
        <v>148</v>
      </c>
    </row>
    <row r="8" spans="6:12" x14ac:dyDescent="0.25">
      <c r="F8" s="73">
        <f>F3+(F4/(F4-G4))*(G3-F3)</f>
        <v>0.48607150638041396</v>
      </c>
      <c r="G8" s="72">
        <f>('Laporan Laba Rugi'!B6/(1+'Aspek Keuangan'!X7))/('Laporan Laba Rugi'!C6/(1+'Aspek Keuangan'!X7))</f>
        <v>1.5685193963255337</v>
      </c>
    </row>
    <row r="9" spans="6:12" x14ac:dyDescent="0.25">
      <c r="F9" s="72"/>
      <c r="G9" s="72"/>
    </row>
    <row r="10" spans="6:12" x14ac:dyDescent="0.25">
      <c r="F10" s="72"/>
      <c r="G10" s="75"/>
    </row>
    <row r="11" spans="6:12" x14ac:dyDescent="0.25">
      <c r="F11" s="75"/>
      <c r="G11" s="75"/>
    </row>
    <row r="12" spans="6:12" x14ac:dyDescent="0.25">
      <c r="F12" s="75"/>
      <c r="G12" s="75"/>
    </row>
    <row r="13" spans="6:12" x14ac:dyDescent="0.25">
      <c r="F13" s="75"/>
      <c r="G13" s="75"/>
    </row>
    <row r="14" spans="6:12" x14ac:dyDescent="0.25">
      <c r="F14" s="72"/>
      <c r="G14" s="72"/>
    </row>
    <row r="15" spans="6:12" x14ac:dyDescent="0.25">
      <c r="F15" s="72"/>
      <c r="G15" s="72"/>
    </row>
    <row r="16" spans="6:12" x14ac:dyDescent="0.25">
      <c r="F16" s="72"/>
      <c r="G16" s="72"/>
    </row>
    <row r="17" spans="6:7" x14ac:dyDescent="0.25">
      <c r="F17" s="72"/>
      <c r="G17" s="7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Aspek Keuangan</vt:lpstr>
      <vt:lpstr>Laporan Laba Rugi</vt:lpstr>
      <vt:lpstr>Proyeksi Neraca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2020-12-27T14:05:50Z</dcterms:created>
  <dcterms:modified xsi:type="dcterms:W3CDTF">2021-01-16T06:39:52Z</dcterms:modified>
</cp:coreProperties>
</file>